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mpanies import - EN" sheetId="1" r:id="rId5"/>
    <sheet state="visible" name="companies import - NL" sheetId="2" r:id="rId6"/>
    <sheet state="visible" name="companies import - FR" sheetId="3" r:id="rId7"/>
    <sheet state="visible" name="companies import - DE" sheetId="4" r:id="rId8"/>
    <sheet state="visible" name="companies import - ES" sheetId="5" r:id="rId9"/>
    <sheet state="visible" name="companies import - IT" sheetId="6" r:id="rId10"/>
    <sheet state="visible" name="Field notes" sheetId="7" r:id="rId11"/>
    <sheet state="visible" name="Field names" sheetId="8" r:id="rId12"/>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G1">
      <text>
        <t xml:space="preserve">Extended names are not accepted.
Only ISO codes (2 letters accepted)</t>
      </text>
    </comment>
    <comment authorId="0" ref="H1">
      <text>
        <t xml:space="preserve">Extended names are not accepted.
Only ISO codes (2 letters accepted)</t>
      </text>
    </comment>
    <comment authorId="0" ref="L1">
      <text>
        <t xml:space="preserve">Check that all email addresses have the symbol @
Check that are not special characters not accepted on an email address
Only one email address per column is accepted</t>
      </text>
    </comment>
    <comment authorId="0" ref="M1">
      <text>
        <t xml:space="preserve">Check that all websites include www. and .com/.uk/.es/etc...
Only one website per column is accepted</t>
      </text>
    </comment>
    <comment authorId="0" ref="O1">
      <text>
        <t xml:space="preserve">Only one telephone number per column is accepted</t>
      </text>
    </comment>
    <comment authorId="0" ref="P1">
      <text>
        <t xml:space="preserve">Only one fax number per column is accepted</t>
      </text>
    </comment>
    <comment authorId="0" ref="Q1">
      <text>
        <t xml:space="preserve">Different options need to be in one column, separated by a comma.
Unknown options will be added to the list of options.</t>
      </text>
    </comment>
    <comment authorId="0" ref="R1">
      <text>
        <t xml:space="preserve">Needs to be the exact name of an active user in the account</t>
      </text>
    </comment>
    <comment authorId="0" ref="S1">
      <text>
        <t xml:space="preserve">Only the numbers 0 and 1 are accepted.
The number 0 stands for 'deactivated’ and the number 1 stands for 'active'.</t>
      </text>
    </comment>
    <comment authorId="0" ref="T1">
      <text>
        <t xml:space="preserve">Sectors can only be entered for companies by using the triple letter codes that are used by Trends. You can find the sector list attached at the bottom of this article.</t>
      </text>
    </comment>
    <comment authorId="0" ref="Y1">
      <text>
        <t xml:space="preserve">No restriction but all information needs to be in one column</t>
      </text>
    </comment>
    <comment authorId="0" ref="AA1">
      <text>
        <t xml:space="preserve">You can use the text abbreviations or the numbers listed below:
vat_liable: Belgian VAT liability (1)
intra_community_eu: Intra-Community VAT liability (4)
outside_eu: VAT liability outside the EU (6)
contractor: Contracting partner (30)
private_person: Private person (7)
exempted_from_vat: Not liable for VAT (10)</t>
      </text>
    </comment>
    <comment authorId="0" ref="AB1">
      <text>
        <t xml:space="preserve">Cash:
CONT/CONTANT/0D: payment term cash (0 days)
Default payment terms:
7, 21, 30, 7D, 21D, 30D… : normal payment term
Flexible payment terms:
If you use custom payment terms, you can upload these as well. They will be kept as a preference for your customer.
You can also create custom payment terms within Teamleader Focus.
End of month:
30DEM: 30 days after the end of the month (identical for 60DEM and 90DEM)</t>
      </text>
    </comment>
    <comment authorId="0" ref="AF1">
      <text>
        <t xml:space="preserve">This column allows you to exclude from your mailing list the companies that don’t wish to receive information.
Only the numbers 0 and 1 are accepted.
The number 0 stands for 'Opt-in marketing mails’ = NO and the number 1 stands for 'Opt-in marketing mails' = YES’.</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G1">
      <text>
        <t xml:space="preserve">Voluit geschreven namen zijn niet toegestaan.
Alleen ISO-codes zijn toegestaan (twee letters).</t>
      </text>
    </comment>
    <comment authorId="0" ref="H1">
      <text>
        <t xml:space="preserve">Voluit geschreven namen zijn niet toegestaan.
Alleen ISO-codes zijn toegestaan (2 letters).</t>
      </text>
    </comment>
    <comment authorId="0" ref="L1">
      <text>
        <t xml:space="preserve">Controleer of alle e-mailadressen het symbool @ bevatten.
Controleer of er geen speciale tekens zijn die niet toegestaan zijn in een e-mailadres.
In elke kolom mag slechts een e-mailadres staan.</t>
      </text>
    </comment>
    <comment authorId="0" ref="M1">
      <text>
        <t xml:space="preserve">Controleer of alle websites www. bevatten en .com/.uk/.es enz.
In elke kolom mag slechts een website staan.</t>
      </text>
    </comment>
    <comment authorId="0" ref="O1">
      <text>
        <t xml:space="preserve">In elke kolom mag slechts een telefoonnummer staan.</t>
      </text>
    </comment>
    <comment authorId="0" ref="P1">
      <text>
        <t xml:space="preserve">In elke kolom mag slechts een faxnummer staan.</t>
      </text>
    </comment>
    <comment authorId="0" ref="Q1">
      <text>
        <t xml:space="preserve">Er moeten meerdere opties staan in een kolom, gescheiden door een komma.
Onbekende opties worden toegevoegd aan de lijst van opties.</t>
      </text>
    </comment>
    <comment authorId="0" ref="R1">
      <text>
        <t xml:space="preserve">Moet de exacte naam zijn van een actieve gebruiker in de account</t>
      </text>
    </comment>
    <comment authorId="0" ref="S1">
      <text>
        <t xml:space="preserve">Alleen de cijfers 0 en 1 zijn toegestaan.
Het cijfer 0 staat voor 'gedeactiveerd' en 1 staat voor 'actief'</t>
      </text>
    </comment>
    <comment authorId="0" ref="T1">
      <text>
        <t xml:space="preserve">De sector van een bedrijf kan alleen worden ingegeven met de drielettercode gebruikt door Trends. Je kan de sectorlijst als bijlage vinden op het einde van dit artikel.</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G1">
      <text>
        <t xml:space="preserve">Les noms développés ne sont pas acceptés.
Seuls les codes ISO (2 lettres acceptées)</t>
      </text>
    </comment>
    <comment authorId="0" ref="H1">
      <text>
        <t xml:space="preserve">Les noms étendus ne sont pas acceptés.
Seuls les codes ISO (2 lettres acceptées)</t>
      </text>
    </comment>
    <comment authorId="0" ref="O1">
      <text>
        <t xml:space="preserve">Seul un numéro de téléphone par colonne est accepté</t>
      </text>
    </comment>
    <comment authorId="0" ref="P1">
      <text>
        <t xml:space="preserve">Seul un numéro de fax par colonne est accepté</t>
      </text>
    </comment>
    <comment authorId="0" ref="R1">
      <text>
        <t xml:space="preserve">Doit être le nom exact d'un utilisateur actif dans le compte</t>
      </text>
    </comment>
    <comment authorId="0" ref="S1">
      <text>
        <t xml:space="preserve">Seuls les chiffres 1 et 0 sont acceptés.
Le chiffre 0 voudra dire "désactivé" et le chiffre 1 "activé"</t>
      </text>
    </comment>
    <comment authorId="0" ref="T1">
      <text>
        <t xml:space="preserve">Les secteurs peuvent uniquement être saisis pour les entreprises à l'aide des codes à trois lettres utilisés par Trends. Vous pouvez trouver la liste des secteurs en pièce jointe à la fin de cet article.</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G1">
      <text>
        <t xml:space="preserve">Erweiterte Bezeichnungen sind nicht erlaubt.
Nur ISO-Codes (2 Buchstaben erlaubt)</t>
      </text>
    </comment>
    <comment authorId="0" ref="H1">
      <text>
        <t xml:space="preserve">Erweiterte Bezeichnungen sind nicht erlaubt.
Nur ISO-Codes (2 Buchstaben erlaubt)</t>
      </text>
    </comment>
    <comment authorId="0" ref="L1">
      <text>
        <t xml:space="preserve">Prüfen Sie, ob alle E-Mail-Adressen das @-Zeichen haben
Stellen Sie sicher, dass sich in E-Mail-Adressen keine unzulässigen Sonderzeichen befinden
Nur eine E-Mail- Adresse pro Spalte ist erlaubt</t>
      </text>
    </comment>
    <comment authorId="0" ref="O1">
      <text>
        <t xml:space="preserve">Nur eine Telefonnummer pro Spalte ist erlaubt</t>
      </text>
    </comment>
    <comment authorId="0" ref="P1">
      <text>
        <t xml:space="preserve">Nur eine Faxnummer pro Spalte ist erlaubt</t>
      </text>
    </comment>
    <comment authorId="0" ref="S1">
      <text>
        <t xml:space="preserve">Es werden nur die Nummern 0 und 1 akzeptiert. Die Nummer 0 steht für "deaktiviert" und die Nummer 1 für "aktiv".</t>
      </text>
    </comment>
    <comment authorId="0" ref="T1">
      <text>
        <t xml:space="preserve">Sektoren können nur für Firmen eingegeben werden, wenn dreibuchstabige Codes verwendet werden, die auch Trends benutzt. Die Liste der Sektoren finden Sie am Ende dieses Artikels.</t>
      </text>
    </comment>
    <comment authorId="0" ref="Y1">
      <text>
        <t xml:space="preserve">Keine Einschränkung, aber alle Informationen müssen in einer Spalte stehen</t>
      </text>
    </comment>
    <comment authorId="0" ref="AB1">
      <text>
        <t xml:space="preserve">Barzahlung:
CONT/CONTANT/0T: Zahlungsbedingung Barzahlung (0 Tage)
Standardzahlungsbedingungen:
7, 21, 30, 7T, 21T, 30T, …: normale Zahlungsbedingung
Flexible Zahlungsbedingung:
Wenn Sie benutzerdefinierte Zahlungsbedingungen verwenden, können Sie diese hochladen. Sie werden als Präferenz für Ihren Kunden gespeichert.
Sie können auch benutzerdefinierte Zahlungsbedingungen innerhalb von Teamleader Focus erstellen.
Monatsende:
30DEM: 30 Tage nach Monatsende (gleich für 60DEM und 90DEM)</t>
      </text>
    </comment>
  </commentList>
</comments>
</file>

<file path=xl/comments5.xml><?xml version="1.0" encoding="utf-8"?>
<comments xmlns:r="http://schemas.openxmlformats.org/officeDocument/2006/relationships" xmlns="http://schemas.openxmlformats.org/spreadsheetml/2006/main" xmlns:xr="http://schemas.microsoft.com/office/spreadsheetml/2014/revision">
  <authors>
    <author/>
  </authors>
  <commentList>
    <comment authorId="0" ref="G1">
      <text>
        <t xml:space="preserve">- No se aceptan nombres extendidos (por ejemplo España, Spain, Francia, France etc...).
- Solo códigos ISO (se aceptan 2 letras, por ejemplo ES, FR, UK etc...)</t>
      </text>
    </comment>
    <comment authorId="0" ref="H1">
      <text>
        <t xml:space="preserve">- No se aceptan nombres extendidos (por ejemplo Español, Spanish, Inglés, English...)
- Solo códigos ISO (se aceptan 2 letras, por ejemplo ES, EN, FR etc...)</t>
      </text>
    </comment>
    <comment authorId="0" ref="M1">
      <text>
        <t xml:space="preserve">- Comprueba que todos los sitios web incluyan www. y .com/.uk/.es/etc...
- Solo se acepta un sitio web por columna.</t>
      </text>
    </comment>
    <comment authorId="0" ref="O1">
      <text>
        <t xml:space="preserve">- Solo se acepta un número de teléfono por columna.</t>
      </text>
    </comment>
    <comment authorId="0" ref="P1">
      <text>
        <t xml:space="preserve">- Solo se acepta un número de fax por columna.</t>
      </text>
    </comment>
    <comment authorId="0" ref="Q1">
      <text>
        <t xml:space="preserve">- Las distintas opciones deben estar en una misma columna, separadas por coma.
- Si tu Excel tiene opciones que no existen aún en Teamleader Focus, se crearán sobre la marcha.</t>
      </text>
    </comment>
    <comment authorId="0" ref="S1">
      <text>
        <t xml:space="preserve">Solo se aceptan los números 0 y 1.
El número 0 significa "desactivado" y el número 1 significa "activo".</t>
      </text>
    </comment>
    <comment authorId="0" ref="T1">
      <text>
        <t xml:space="preserve">- Debes utilizar el listado de sectores que te facilita Teamleader Focus, con su código de 3 letras (lo encontrarás en archivo adjunto al final de este artículo).
Truco: Si no quieres utilizar estos sectores puedes crear un campo personalizado propio de tipo 'Selección individual o múltiple' y añadir tus propias opciones.</t>
      </text>
    </comment>
  </commentList>
</comments>
</file>

<file path=xl/comments6.xml><?xml version="1.0" encoding="utf-8"?>
<comments xmlns:r="http://schemas.openxmlformats.org/officeDocument/2006/relationships" xmlns="http://schemas.openxmlformats.org/spreadsheetml/2006/main" xmlns:xr="http://schemas.microsoft.com/office/spreadsheetml/2014/revision">
  <authors>
    <author/>
  </authors>
  <commentList>
    <comment authorId="0" ref="G1">
      <text>
        <t xml:space="preserve">I nomi completi non sono consentiti.
Soltanto Codici ISO (2 lettere consentite)</t>
      </text>
    </comment>
    <comment authorId="0" ref="H1">
      <text>
        <t xml:space="preserve">I nomi completi non sono consentiti.
Soltanto codici ISO (2 lettere consentite)</t>
      </text>
    </comment>
    <comment authorId="0" ref="M1">
      <text>
        <t xml:space="preserve">Verifica che tutti i siti web includano www. e .com/.it/.eu/ ecc...
È consentito soltanto un sito web per colonna</t>
      </text>
    </comment>
    <comment authorId="0" ref="O1">
      <text>
        <t xml:space="preserve">È consentito soltanto un numero di telefono per colonna</t>
      </text>
    </comment>
    <comment authorId="0" ref="P1">
      <text>
        <t xml:space="preserve">È consentito soltanto un numero di fax per colonna</t>
      </text>
    </comment>
    <comment authorId="0" ref="S1">
      <text>
        <t xml:space="preserve">Sono consentiti soltanto i numeri 0 e 1
Il numero 0 significa 'disattivato', il numero 1 'attivato'</t>
      </text>
    </comment>
    <comment authorId="0" ref="T1">
      <text>
        <t xml:space="preserve">I settori possono essere indicati soltanto per le società tramite i codici a tre lettere utilizzati da Trends Top. In allegato di questo articolo puoi trovare la lista di settori ed i loro codici.</t>
      </text>
    </comment>
    <comment authorId="0" ref="AB1">
      <text>
        <t xml:space="preserve">Cash:
CONT/CONTANTI/0D: scadenza pagamento in contanti (0 giorni)
Termini di pagamento predefiniti:
7, 21, 30, 7D, 21D, 30D… : termine di pagamento normale
Termini di pagamento flessibili:
Se utilizzi termini di pagamento personalizzati, puoi indicarli. Verranno mantenuti come preferenza del tuo cliente.
Inoltre, puoi creare termini di pagamento personalizzati in Teamleader Focus.
Fine del mese:
30DEM: 30 giorni dalla fine del mese (identico per 60DEM e 90DEM)</t>
      </text>
    </comment>
  </commentList>
</comments>
</file>

<file path=xl/sharedStrings.xml><?xml version="1.0" encoding="utf-8"?>
<sst xmlns="http://schemas.openxmlformats.org/spreadsheetml/2006/main" count="1507" uniqueCount="1009">
  <si>
    <t>Name</t>
  </si>
  <si>
    <t>Street</t>
  </si>
  <si>
    <t>Number</t>
  </si>
  <si>
    <t>Zip code</t>
  </si>
  <si>
    <t>City</t>
  </si>
  <si>
    <t>Country</t>
  </si>
  <si>
    <t>Language</t>
  </si>
  <si>
    <t>VAT number</t>
  </si>
  <si>
    <t>Invoice email address</t>
  </si>
  <si>
    <t>National Identification N°</t>
  </si>
  <si>
    <t>Email address</t>
  </si>
  <si>
    <t>Website</t>
  </si>
  <si>
    <t>Type of business</t>
  </si>
  <si>
    <t>Phone</t>
  </si>
  <si>
    <t>Fax</t>
  </si>
  <si>
    <t>Tags</t>
  </si>
  <si>
    <t>Account manager</t>
  </si>
  <si>
    <t>Active</t>
  </si>
  <si>
    <t>Sector</t>
  </si>
  <si>
    <t>APE Code</t>
  </si>
  <si>
    <t>Name + Type of business</t>
  </si>
  <si>
    <t>Street + Number</t>
  </si>
  <si>
    <t>Province</t>
  </si>
  <si>
    <t>Background information</t>
  </si>
  <si>
    <t>Pricelist</t>
  </si>
  <si>
    <t>VAT liability</t>
  </si>
  <si>
    <t>Payment terms</t>
  </si>
  <si>
    <t>External ID</t>
  </si>
  <si>
    <t>IBAN Account nr</t>
  </si>
  <si>
    <t>BIC-SWIFT</t>
  </si>
  <si>
    <t>Opt-in marketing mails</t>
  </si>
  <si>
    <t>Delivery address: Name</t>
  </si>
  <si>
    <t>Delivery address: Street</t>
  </si>
  <si>
    <t>Delivery address: Number</t>
  </si>
  <si>
    <t>Delivery address: Street+ Number</t>
  </si>
  <si>
    <t>Delivery address: Zip code</t>
  </si>
  <si>
    <t>Delivery address: City</t>
  </si>
  <si>
    <t>Delivery address: Country</t>
  </si>
  <si>
    <t>Delivery address: Province</t>
  </si>
  <si>
    <t>Invoice address: Name</t>
  </si>
  <si>
    <t>Invoice address: Street</t>
  </si>
  <si>
    <t>Invoice address: Number</t>
  </si>
  <si>
    <t>Invoice address: Street + Number</t>
  </si>
  <si>
    <t>Invoice address: Zip code</t>
  </si>
  <si>
    <t>Invoice address: City</t>
  </si>
  <si>
    <t>Invoice address: Country</t>
  </si>
  <si>
    <t>Invoice address: Province</t>
  </si>
  <si>
    <t>Visiting address: Name</t>
  </si>
  <si>
    <t>Visiting address: Street</t>
  </si>
  <si>
    <t>Visiting address: Number</t>
  </si>
  <si>
    <t>Visiting address: Street + Number</t>
  </si>
  <si>
    <t>Visiting address: Zip code</t>
  </si>
  <si>
    <t>Visiting address: City</t>
  </si>
  <si>
    <t>Visiting address: Country</t>
  </si>
  <si>
    <t>Visiting address: Province</t>
  </si>
  <si>
    <t>Linked company: Name</t>
  </si>
  <si>
    <t>Linked company: Name + Type of business</t>
  </si>
  <si>
    <t>Linked company: Phone</t>
  </si>
  <si>
    <t>Linked company: Fax</t>
  </si>
  <si>
    <t>Linked company: Email address</t>
  </si>
  <si>
    <t>Linked company: Website</t>
  </si>
  <si>
    <t>Linked company: VAT number</t>
  </si>
  <si>
    <t>Linked company: National Identification N°</t>
  </si>
  <si>
    <t>Linked company: street/number</t>
  </si>
  <si>
    <t>Linked company: zip code</t>
  </si>
  <si>
    <t>Linked company: City</t>
  </si>
  <si>
    <t>Contact 1: Last name + First name</t>
  </si>
  <si>
    <t>Contact 1: First name + Last name</t>
  </si>
  <si>
    <t>Contact 1: First name</t>
  </si>
  <si>
    <t>Contact 1: Last name</t>
  </si>
  <si>
    <t>Contact 1: Function</t>
  </si>
  <si>
    <t>Contact 1: Subfunction</t>
  </si>
  <si>
    <t>Contact 1: Department</t>
  </si>
  <si>
    <t>Contact 1: Phone</t>
  </si>
  <si>
    <t>Contact 1: Mobile</t>
  </si>
  <si>
    <t>Contact 1: Fax</t>
  </si>
  <si>
    <t>Contact 1: Email</t>
  </si>
  <si>
    <t>Hourly rate</t>
  </si>
  <si>
    <t>TL-1001</t>
  </si>
  <si>
    <t>Acme Corp</t>
  </si>
  <si>
    <t>Main St</t>
  </si>
  <si>
    <t>New York</t>
  </si>
  <si>
    <t>USA</t>
  </si>
  <si>
    <t>EN</t>
  </si>
  <si>
    <t>US123456789</t>
  </si>
  <si>
    <t>billing@acme.com</t>
  </si>
  <si>
    <t>ID-111</t>
  </si>
  <si>
    <t>info@acme.com</t>
  </si>
  <si>
    <t>www.acme.com</t>
  </si>
  <si>
    <t>B2B</t>
  </si>
  <si>
    <t>Tech</t>
  </si>
  <si>
    <t>John Doe</t>
  </si>
  <si>
    <t>Yes</t>
  </si>
  <si>
    <t>IT</t>
  </si>
  <si>
    <t>1234A</t>
  </si>
  <si>
    <t>Acme Corp - B2B</t>
  </si>
  <si>
    <t>Main St 100</t>
  </si>
  <si>
    <t>NY</t>
  </si>
  <si>
    <t>Info</t>
  </si>
  <si>
    <t>Standard</t>
  </si>
  <si>
    <t>30 Days</t>
  </si>
  <si>
    <t>EXT-001</t>
  </si>
  <si>
    <t>US00IBAN123456789</t>
  </si>
  <si>
    <t>ACMEUS33</t>
  </si>
  <si>
    <t>Beta Corp</t>
  </si>
  <si>
    <t>Beta Corp - B2B</t>
  </si>
  <si>
    <t>info@beta.com</t>
  </si>
  <si>
    <t>www.beta.com</t>
  </si>
  <si>
    <t>US987654321</t>
  </si>
  <si>
    <t>ID-112</t>
  </si>
  <si>
    <t>Second St 200</t>
  </si>
  <si>
    <t>Doe John</t>
  </si>
  <si>
    <t>John</t>
  </si>
  <si>
    <t>Doe</t>
  </si>
  <si>
    <t>CEO</t>
  </si>
  <si>
    <t>Management</t>
  </si>
  <si>
    <t>john@acme.com</t>
  </si>
  <si>
    <t>TL-1002</t>
  </si>
  <si>
    <t>Stark Industries</t>
  </si>
  <si>
    <t>Broadway</t>
  </si>
  <si>
    <t>WC2N 5DU</t>
  </si>
  <si>
    <t>London</t>
  </si>
  <si>
    <t>UK</t>
  </si>
  <si>
    <t>GB987654321</t>
  </si>
  <si>
    <t>finance@stark.com</t>
  </si>
  <si>
    <t>ID-222</t>
  </si>
  <si>
    <t>contact@stark.com</t>
  </si>
  <si>
    <t>www.stark.com</t>
  </si>
  <si>
    <t>B2C</t>
  </si>
  <si>
    <t>Manufacturing</t>
  </si>
  <si>
    <t>Jane Smith</t>
  </si>
  <si>
    <t>Engineering</t>
  </si>
  <si>
    <t>5678B</t>
  </si>
  <si>
    <t>Stark Industries - B2C</t>
  </si>
  <si>
    <t>Broadway 200</t>
  </si>
  <si>
    <t>Greater London</t>
  </si>
  <si>
    <t>Premium</t>
  </si>
  <si>
    <t>60 Days</t>
  </si>
  <si>
    <t>EXT-002</t>
  </si>
  <si>
    <t>GB00IBAN987654321</t>
  </si>
  <si>
    <t>STRKGB22</t>
  </si>
  <si>
    <t>No</t>
  </si>
  <si>
    <t>Wayne Ent</t>
  </si>
  <si>
    <t>Wayne Ent - B2B</t>
  </si>
  <si>
    <t>info@wayne.com</t>
  </si>
  <si>
    <t>www.wayne.com</t>
  </si>
  <si>
    <t>GB123456789</t>
  </si>
  <si>
    <t>ID-223</t>
  </si>
  <si>
    <t>Park Lane 1</t>
  </si>
  <si>
    <t>W1K 1PN</t>
  </si>
  <si>
    <t>Smith Jane</t>
  </si>
  <si>
    <t>Jane</t>
  </si>
  <si>
    <t>Smith</t>
  </si>
  <si>
    <t>CTO</t>
  </si>
  <si>
    <t>jane@stark.com</t>
  </si>
  <si>
    <t>Naam</t>
  </si>
  <si>
    <t>Straat</t>
  </si>
  <si>
    <t>Nummer</t>
  </si>
  <si>
    <t>Postcode</t>
  </si>
  <si>
    <t>Stad</t>
  </si>
  <si>
    <t>Land</t>
  </si>
  <si>
    <t>Taal</t>
  </si>
  <si>
    <t>BTW-nummer</t>
  </si>
  <si>
    <t>E-mailadres voor factuur</t>
  </si>
  <si>
    <t>Nationaal identificatienummer</t>
  </si>
  <si>
    <t>E-mailadres</t>
  </si>
  <si>
    <t>Soort bedrijf</t>
  </si>
  <si>
    <t>Telefoon</t>
  </si>
  <si>
    <t>Accountmanager</t>
  </si>
  <si>
    <t>Actief</t>
  </si>
  <si>
    <t>APE-code</t>
  </si>
  <si>
    <t>Naam + Soort bedrijf</t>
  </si>
  <si>
    <t>Straat + huisnummer</t>
  </si>
  <si>
    <t>Provincie</t>
  </si>
  <si>
    <t>Achtergrondinformatie</t>
  </si>
  <si>
    <t>Prijslijst</t>
  </si>
  <si>
    <t>BTW-verplichting</t>
  </si>
  <si>
    <t>Betalingsvoorwaarden</t>
  </si>
  <si>
    <t>Externe ID</t>
  </si>
  <si>
    <t>IBAN-rekeningnummer</t>
  </si>
  <si>
    <t>Marketingmails waarvoor je je hebt aangemeld</t>
  </si>
  <si>
    <t>Bezorgadres: Naam</t>
  </si>
  <si>
    <t>Bezorgadres: Straat</t>
  </si>
  <si>
    <t>Bezorgadres: Nummer</t>
  </si>
  <si>
    <t>Bezorgadres: Straat + Huisnummer</t>
  </si>
  <si>
    <t>Bezorgadres: Postcode</t>
  </si>
  <si>
    <t>Bezorgadres: Plaats</t>
  </si>
  <si>
    <t>Bezorgadres: Land</t>
  </si>
  <si>
    <t>Bezorgadres: Provincie</t>
  </si>
  <si>
    <t>Factuuradres: Naam</t>
  </si>
  <si>
    <t>Factuuradres: Straat</t>
  </si>
  <si>
    <t>Factuuradres: Nummer</t>
  </si>
  <si>
    <t>Factuuradres: Straat + Huisnummer</t>
  </si>
  <si>
    <t>Factuuradres: Postcode</t>
  </si>
  <si>
    <t>Factuuradres: Plaats</t>
  </si>
  <si>
    <t>Factuuradres: Land</t>
  </si>
  <si>
    <t>Factuuradres: Provincie</t>
  </si>
  <si>
    <t>Bezoekadres: Naam</t>
  </si>
  <si>
    <t>Bezoekadres: Straat</t>
  </si>
  <si>
    <t>Bezoekadres: Nummer</t>
  </si>
  <si>
    <t>Bezoekadres: Straat + Huisnummer</t>
  </si>
  <si>
    <t>Bezoekadres: Postcode</t>
  </si>
  <si>
    <t>Bezoekadres: Stad</t>
  </si>
  <si>
    <t>Bezoekadres: Land</t>
  </si>
  <si>
    <t>Bezoekadres: Provincie</t>
  </si>
  <si>
    <t>Gelinkt bedrijf: Naam</t>
  </si>
  <si>
    <t>Gekoppeld bedrijf: Naam + Soort bedrijf</t>
  </si>
  <si>
    <t>Gekoppeld bedrijf: Telefoon</t>
  </si>
  <si>
    <t>Gelieerd bedrijf: Fax</t>
  </si>
  <si>
    <t>Gelinkt bedrijf: E-mailadres</t>
  </si>
  <si>
    <t>Gelinkt bedrijf: Website</t>
  </si>
  <si>
    <t>Gelieerde onderneming: BTW-nummer</t>
  </si>
  <si>
    <t>Gelieerd bedrijf: Nationaal identificatienummer</t>
  </si>
  <si>
    <t>Gekoppeld bedrijf: straat/nummer</t>
  </si>
  <si>
    <t>Gekoppeld bedrijf: postcode</t>
  </si>
  <si>
    <t>Gelieerd bedrijf: Stad</t>
  </si>
  <si>
    <t>Contactpersoon 1: Achternaam + Voornaam</t>
  </si>
  <si>
    <t>Contactpersoon 1: Voornaam + Achternaam</t>
  </si>
  <si>
    <t>Contactpersoon 1: Voornaam</t>
  </si>
  <si>
    <t>Contactpersoon 1: Achternaam</t>
  </si>
  <si>
    <t>Contact 1: Functie</t>
  </si>
  <si>
    <t>Contact 1: Subfunctie</t>
  </si>
  <si>
    <t>Contactpersoon 1: Afdeling</t>
  </si>
  <si>
    <t>Contact 1: Telefoon</t>
  </si>
  <si>
    <t>Contact 1: Mobiel</t>
  </si>
  <si>
    <t>Contact 1: E-mail</t>
  </si>
  <si>
    <t>Uurtarief</t>
  </si>
  <si>
    <t>TL-1003</t>
  </si>
  <si>
    <t>Tulip B.V.</t>
  </si>
  <si>
    <t>Gracht</t>
  </si>
  <si>
    <t>1011 AA</t>
  </si>
  <si>
    <t>Amsterdam</t>
  </si>
  <si>
    <t>Nederland</t>
  </si>
  <si>
    <t>NL</t>
  </si>
  <si>
    <t>NL123456789B01</t>
  </si>
  <si>
    <t>factuur@tulip.nl</t>
  </si>
  <si>
    <t>ID-333</t>
  </si>
  <si>
    <t>info@tulip.nl</t>
  </si>
  <si>
    <t>www.tulip.nl</t>
  </si>
  <si>
    <t>Bloemen</t>
  </si>
  <si>
    <t>Jan Jansen</t>
  </si>
  <si>
    <t>Ja</t>
  </si>
  <si>
    <t>Landbouw</t>
  </si>
  <si>
    <t>Tulip B.V. - B2B</t>
  </si>
  <si>
    <t>Gracht 10</t>
  </si>
  <si>
    <t>Noord-Holland</t>
  </si>
  <si>
    <t>Standaard</t>
  </si>
  <si>
    <t>30 Dagen</t>
  </si>
  <si>
    <t>EXT-003</t>
  </si>
  <si>
    <t>NL00INGB0123456789</t>
  </si>
  <si>
    <t>INGBNL2A</t>
  </si>
  <si>
    <t>Roos B.V.</t>
  </si>
  <si>
    <t>Roos B.V. - B2B</t>
  </si>
  <si>
    <t>info@roos.nl</t>
  </si>
  <si>
    <t>www.roos.nl</t>
  </si>
  <si>
    <t>NL987654321B01</t>
  </si>
  <si>
    <t>ID-334</t>
  </si>
  <si>
    <t>Singel 20</t>
  </si>
  <si>
    <t>1012 BB</t>
  </si>
  <si>
    <t>Jansen Jan</t>
  </si>
  <si>
    <t>Jan</t>
  </si>
  <si>
    <t>Jansen</t>
  </si>
  <si>
    <t>Directeur</t>
  </si>
  <si>
    <t>jan@tulip.nl</t>
  </si>
  <si>
    <t>TL-1004</t>
  </si>
  <si>
    <t>Wafel NV</t>
  </si>
  <si>
    <t>Markt</t>
  </si>
  <si>
    <t>Brussel</t>
  </si>
  <si>
    <t>België</t>
  </si>
  <si>
    <t>BE0123456789</t>
  </si>
  <si>
    <t>facturatie@wafel.be</t>
  </si>
  <si>
    <t>ID-444</t>
  </si>
  <si>
    <t>info@wafel.be</t>
  </si>
  <si>
    <t>www.wafel.be</t>
  </si>
  <si>
    <t>Voeding</t>
  </si>
  <si>
    <t>Pieter Peeters</t>
  </si>
  <si>
    <t>Horeca</t>
  </si>
  <si>
    <t>Wafel NV - B2C</t>
  </si>
  <si>
    <t>Markt 5</t>
  </si>
  <si>
    <t>60 Dagen</t>
  </si>
  <si>
    <t>EXT-004</t>
  </si>
  <si>
    <t>BE00012345678901</t>
  </si>
  <si>
    <t>GEBABEBB</t>
  </si>
  <si>
    <t>Nee</t>
  </si>
  <si>
    <t>Choco NV</t>
  </si>
  <si>
    <t>Choco NV - B2B</t>
  </si>
  <si>
    <t>info@choco.be</t>
  </si>
  <si>
    <t>www.choco.be</t>
  </si>
  <si>
    <t>BE0987654321</t>
  </si>
  <si>
    <t>ID-445</t>
  </si>
  <si>
    <t>Plein 1</t>
  </si>
  <si>
    <t>Antwerpen</t>
  </si>
  <si>
    <t>Peeters Pieter</t>
  </si>
  <si>
    <t>Pieter</t>
  </si>
  <si>
    <t>Peeters</t>
  </si>
  <si>
    <t>Manager</t>
  </si>
  <si>
    <t>Verkoop</t>
  </si>
  <si>
    <t>pieter@wafel.be</t>
  </si>
  <si>
    <t>Nom</t>
  </si>
  <si>
    <t>Rue</t>
  </si>
  <si>
    <t>Nombre</t>
  </si>
  <si>
    <t>Code postal</t>
  </si>
  <si>
    <t>Ville</t>
  </si>
  <si>
    <t>Pays</t>
  </si>
  <si>
    <t>Langue</t>
  </si>
  <si>
    <t>Numéro de TVA</t>
  </si>
  <si>
    <t>Adresse e-mail de facturation</t>
  </si>
  <si>
    <t>Numéro d'identification national</t>
  </si>
  <si>
    <t>Adresse email</t>
  </si>
  <si>
    <t>Site web</t>
  </si>
  <si>
    <t>Type d'entreprise</t>
  </si>
  <si>
    <t>Téléphone</t>
  </si>
  <si>
    <t>Étiquettes</t>
  </si>
  <si>
    <t>Gestionnaire de compte</t>
  </si>
  <si>
    <t>Actif</t>
  </si>
  <si>
    <t>Secteur</t>
  </si>
  <si>
    <t>Code APE</t>
  </si>
  <si>
    <t>Nom + Type d'entreprise</t>
  </si>
  <si>
    <t>Rue + Numéro</t>
  </si>
  <si>
    <t>Informations générales</t>
  </si>
  <si>
    <t>Liste de prix</t>
  </si>
  <si>
    <t>TVA à payer</t>
  </si>
  <si>
    <t>Conditions de paiement</t>
  </si>
  <si>
    <t>ID externe</t>
  </si>
  <si>
    <t>Numéro de compte IBAN</t>
  </si>
  <si>
    <t>Courriels marketing opt-in</t>
  </si>
  <si>
    <t>Adresse de livraison : Nom</t>
  </si>
  <si>
    <t>Adresse de livraison : Rue</t>
  </si>
  <si>
    <t>Adresse de livraison : Numéro</t>
  </si>
  <si>
    <t>Adresse de livraison : Rue + Numéro</t>
  </si>
  <si>
    <t>Adresse de livraison : Code postal</t>
  </si>
  <si>
    <t>Adresse de livraison : Ville</t>
  </si>
  <si>
    <t>Adresse de livraison : Pays</t>
  </si>
  <si>
    <t>Adresse de livraison : Province</t>
  </si>
  <si>
    <t>Adresse de facturation : Nom</t>
  </si>
  <si>
    <t>Adresse de facturation : Rue</t>
  </si>
  <si>
    <t>Adresse de facturation : Numéro</t>
  </si>
  <si>
    <t>Adresse de facturation : Rue + Numéro</t>
  </si>
  <si>
    <t>Adresse de facturation : Code postal</t>
  </si>
  <si>
    <t>Adresse de facturation : Ville</t>
  </si>
  <si>
    <t>Adresse de facturation : Pays</t>
  </si>
  <si>
    <t>Adresse de facturation : Province</t>
  </si>
  <si>
    <t>Adresse de visite : Nom</t>
  </si>
  <si>
    <t>Adresse de visite : Rue</t>
  </si>
  <si>
    <t>Adresse de visite : Numéro</t>
  </si>
  <si>
    <t>Adresse de visite : Rue + Numéro</t>
  </si>
  <si>
    <t>Adresse de visite : Code postal</t>
  </si>
  <si>
    <t>Adresse de visite : Ville</t>
  </si>
  <si>
    <t>Adresse de visite : Pays</t>
  </si>
  <si>
    <t>Adresse de visite : Province</t>
  </si>
  <si>
    <t>Société liée : Nom</t>
  </si>
  <si>
    <t>Entreprise liée : Nom + Type d’activité</t>
  </si>
  <si>
    <t>Société liée : Téléphone</t>
  </si>
  <si>
    <t>Société liée : Fax</t>
  </si>
  <si>
    <t>Société liée : Adresse e-mail</t>
  </si>
  <si>
    <t>Entreprise liée : Site web</t>
  </si>
  <si>
    <t>Société liée : numéro de TVA</t>
  </si>
  <si>
    <t>Société liée : Numéro d'identification national</t>
  </si>
  <si>
    <t>Société associée : rue/numéro</t>
  </si>
  <si>
    <t>Entreprise liée : code postal</t>
  </si>
  <si>
    <t>Entreprise liée : Ville</t>
  </si>
  <si>
    <t>Contact 1 : Nom de famille + Prénom</t>
  </si>
  <si>
    <t>Contact 1 : Prénom + Nom de famille</t>
  </si>
  <si>
    <t>Contact 1 : Prénom</t>
  </si>
  <si>
    <t>Contact 1 : Nom de famille</t>
  </si>
  <si>
    <t>Contact 1 : Fonction</t>
  </si>
  <si>
    <t>Contact 1 : Sous-fonction</t>
  </si>
  <si>
    <t>Contact 1 : Département</t>
  </si>
  <si>
    <t>Contact 1 : Téléphone</t>
  </si>
  <si>
    <t>Contact 1 : Mobile</t>
  </si>
  <si>
    <t>Contact 1 : Fax</t>
  </si>
  <si>
    <t>Contact 1 : Courriel</t>
  </si>
  <si>
    <t>taux horaire</t>
  </si>
  <si>
    <t>TL-1005</t>
  </si>
  <si>
    <t>Baguette SARL</t>
  </si>
  <si>
    <t>Rue de la Paix</t>
  </si>
  <si>
    <t>Paris</t>
  </si>
  <si>
    <t>France</t>
  </si>
  <si>
    <t>FR</t>
  </si>
  <si>
    <t>FR12345678901</t>
  </si>
  <si>
    <t>facturation@baguette.fr</t>
  </si>
  <si>
    <t>ID-555</t>
  </si>
  <si>
    <t>contact@baguette.fr</t>
  </si>
  <si>
    <t>www.baguette.fr</t>
  </si>
  <si>
    <t>Boulangerie</t>
  </si>
  <si>
    <t>Jean Dupont</t>
  </si>
  <si>
    <t>Oui</t>
  </si>
  <si>
    <t>Alimentation</t>
  </si>
  <si>
    <t>1071D</t>
  </si>
  <si>
    <t>Baguette SARL - B2B</t>
  </si>
  <si>
    <t>Rue de la Paix 15</t>
  </si>
  <si>
    <t>Île-de-France</t>
  </si>
  <si>
    <t>30 Jours</t>
  </si>
  <si>
    <t>EXT-005</t>
  </si>
  <si>
    <t>FR7630004000011234567890123</t>
  </si>
  <si>
    <t>BNPAFRPP</t>
  </si>
  <si>
    <t>Croissant SA</t>
  </si>
  <si>
    <t>Croissant SA - B2B</t>
  </si>
  <si>
    <t>contact@croissant.fr</t>
  </si>
  <si>
    <t>www.croissant.fr</t>
  </si>
  <si>
    <t>FR98765432109</t>
  </si>
  <si>
    <t>ID-556</t>
  </si>
  <si>
    <t>Avenue des Champs 20</t>
  </si>
  <si>
    <t>Dupont Jean</t>
  </si>
  <si>
    <t>Jean</t>
  </si>
  <si>
    <t>Dupont</t>
  </si>
  <si>
    <t>Gérant</t>
  </si>
  <si>
    <t>Direction</t>
  </si>
  <si>
    <t>jean@baguette.fr</t>
  </si>
  <si>
    <t>TL-1006</t>
  </si>
  <si>
    <t>Fromage SAS</t>
  </si>
  <si>
    <t>Avenue Jean Jaurès</t>
  </si>
  <si>
    <t>Lyon</t>
  </si>
  <si>
    <t>FR23456789012</t>
  </si>
  <si>
    <t>compta@fromage.fr</t>
  </si>
  <si>
    <t>ID-666</t>
  </si>
  <si>
    <t>info@fromage.fr</t>
  </si>
  <si>
    <t>www.fromage.fr</t>
  </si>
  <si>
    <t>Laiterie</t>
  </si>
  <si>
    <t>Marie Martin</t>
  </si>
  <si>
    <t>1051C</t>
  </si>
  <si>
    <t>Fromage SAS - B2C</t>
  </si>
  <si>
    <t>Avenue Jean Jaurès 100</t>
  </si>
  <si>
    <t>Auvergne-Rhône-Alpes</t>
  </si>
  <si>
    <t>60 Jours</t>
  </si>
  <si>
    <t>EXT-006</t>
  </si>
  <si>
    <t>FR7630004000019876543210987</t>
  </si>
  <si>
    <t>SOCGFR22</t>
  </si>
  <si>
    <t>Non</t>
  </si>
  <si>
    <t>Vin SA</t>
  </si>
  <si>
    <t>Vin SA - B2B</t>
  </si>
  <si>
    <t>info@vin.fr</t>
  </si>
  <si>
    <t>www.vin.fr</t>
  </si>
  <si>
    <t>FR87654321098</t>
  </si>
  <si>
    <t>ID-667</t>
  </si>
  <si>
    <t>Rue de la République 10</t>
  </si>
  <si>
    <t>Martin Marie</t>
  </si>
  <si>
    <t>Marie</t>
  </si>
  <si>
    <t>Martin</t>
  </si>
  <si>
    <t>Directrice</t>
  </si>
  <si>
    <t>Ventes</t>
  </si>
  <si>
    <t>marie@fromage.fr</t>
  </si>
  <si>
    <t>Straße</t>
  </si>
  <si>
    <t>PLZ</t>
  </si>
  <si>
    <t>Stadt</t>
  </si>
  <si>
    <t>Sprache</t>
  </si>
  <si>
    <t>Umsatzsteuer-Identifikationsnummer</t>
  </si>
  <si>
    <t>E-Mail-Adresse für die Rechnung</t>
  </si>
  <si>
    <t>Nationale Identifikationsnummer</t>
  </si>
  <si>
    <t>E-Mail-Adresse</t>
  </si>
  <si>
    <t>Webseite</t>
  </si>
  <si>
    <t>Art des Geschäfts</t>
  </si>
  <si>
    <t>Telefon</t>
  </si>
  <si>
    <t>Account-Manager</t>
  </si>
  <si>
    <t>Aktiv</t>
  </si>
  <si>
    <t>Sektor</t>
  </si>
  <si>
    <t>APE-Code</t>
  </si>
  <si>
    <t>Name + Art des Unternehmens</t>
  </si>
  <si>
    <t>Straße + Hausnummer</t>
  </si>
  <si>
    <t>Provinz</t>
  </si>
  <si>
    <t>Hintergrundinformationen</t>
  </si>
  <si>
    <t>Preisliste</t>
  </si>
  <si>
    <t>Umsatzsteuerpflicht</t>
  </si>
  <si>
    <t>Zahlungsbedingungen</t>
  </si>
  <si>
    <t>IBAN-Kontonummer</t>
  </si>
  <si>
    <t>Opt-in-Marketing-E-Mails</t>
  </si>
  <si>
    <t>Lieferadresse: Name</t>
  </si>
  <si>
    <t>Lieferadresse: Straße</t>
  </si>
  <si>
    <t>Lieferadresse: Nummer</t>
  </si>
  <si>
    <t>Lieferadresse: Straße + Hausnummer</t>
  </si>
  <si>
    <t>Lieferadresse: Postleitzahl</t>
  </si>
  <si>
    <t>Lieferadresse: Stadt</t>
  </si>
  <si>
    <t>Lieferadresse: Land</t>
  </si>
  <si>
    <t>Lieferadresse: Provinz</t>
  </si>
  <si>
    <t>Rechnungsadresse: Name</t>
  </si>
  <si>
    <t>Rechnungsadresse: Straße</t>
  </si>
  <si>
    <t>Rechnungsadresse: Nummer</t>
  </si>
  <si>
    <t>Rechnungsadresse: Straße + Hausnummer</t>
  </si>
  <si>
    <t>Rechnungsadresse: Postleitzahl</t>
  </si>
  <si>
    <t>Rechnungsadresse: Stadt</t>
  </si>
  <si>
    <t>Rechnungsadresse: Land</t>
  </si>
  <si>
    <t>Rechnungsadresse: Provinz</t>
  </si>
  <si>
    <t>Besucheradresse: Name</t>
  </si>
  <si>
    <t>Besucheradresse: Straße</t>
  </si>
  <si>
    <t>Besucheradresse: Nummer</t>
  </si>
  <si>
    <t>Besucheradresse: Straße + Hausnummer</t>
  </si>
  <si>
    <t>Besucheradresse: Postleitzahl</t>
  </si>
  <si>
    <t>Besucheradresse: Stadt</t>
  </si>
  <si>
    <t>Besucheradresse: Land</t>
  </si>
  <si>
    <t>Besucheradresse: Provinz</t>
  </si>
  <si>
    <t>Verbundenes Unternehmen: Name</t>
  </si>
  <si>
    <t>Verbundenes Unternehmen: Name + Art des Geschäfts</t>
  </si>
  <si>
    <t>Verbundenes Unternehmen: Telefon</t>
  </si>
  <si>
    <t>Verbundenes Unternehmen: Fax</t>
  </si>
  <si>
    <t>Verknüpftes Unternehmen: E-Mail-Adresse</t>
  </si>
  <si>
    <t>Verlinktes Unternehmen: Website</t>
  </si>
  <si>
    <t>Verbundenes Unternehmen: Umsatzsteuer-Identifikationsnummer</t>
  </si>
  <si>
    <t>Verbundenes Unternehmen: Nationale Identifikationsnummer</t>
  </si>
  <si>
    <t>Zugehöriges Unternehmen: Straße/Hausnummer</t>
  </si>
  <si>
    <t>Verknüpftes Unternehmen: Postleitzahl</t>
  </si>
  <si>
    <t>Verbundenes Unternehmen: Stadt</t>
  </si>
  <si>
    <t>Kontakt 1: Nachname + Vorname</t>
  </si>
  <si>
    <t>Kontakt 1: Vorname + Nachname</t>
  </si>
  <si>
    <t>Kontakt 1: Vorname</t>
  </si>
  <si>
    <t>Kontakt 1: Nachname</t>
  </si>
  <si>
    <t>Kontakt 1: Funktion</t>
  </si>
  <si>
    <t>Kontakt 1: Unterfunktion</t>
  </si>
  <si>
    <t>Kontakt 1: Abteilung</t>
  </si>
  <si>
    <t>Kontakt 1: Telefon</t>
  </si>
  <si>
    <t>Kontakt 1: Mobiltelefon</t>
  </si>
  <si>
    <t>Kontakt 1: Fax</t>
  </si>
  <si>
    <t>Kontakt 1: E-Mail</t>
  </si>
  <si>
    <t>Stundensatz</t>
  </si>
  <si>
    <t>TL-1007</t>
  </si>
  <si>
    <t>Bratwurst GmbH</t>
  </si>
  <si>
    <t>Hauptstraße</t>
  </si>
  <si>
    <t>Berlin</t>
  </si>
  <si>
    <t>Deutschland</t>
  </si>
  <si>
    <t>DE</t>
  </si>
  <si>
    <t>DE123456789</t>
  </si>
  <si>
    <t>rechnung@bratwurst.de</t>
  </si>
  <si>
    <t>ID-777</t>
  </si>
  <si>
    <t>info@bratwurst.de</t>
  </si>
  <si>
    <t>www.bratwurst.de</t>
  </si>
  <si>
    <t>Lebensmittel</t>
  </si>
  <si>
    <t>Max Müller</t>
  </si>
  <si>
    <t>Handel</t>
  </si>
  <si>
    <t>Bratwurst GmbH - B2B</t>
  </si>
  <si>
    <t>Hauptstraße 1</t>
  </si>
  <si>
    <t>30 Tage</t>
  </si>
  <si>
    <t>EXT-007</t>
  </si>
  <si>
    <t>DE00123456789012345678</t>
  </si>
  <si>
    <t>DEUTDEDB</t>
  </si>
  <si>
    <t>Bier AG</t>
  </si>
  <si>
    <t>Bier AG - B2B</t>
  </si>
  <si>
    <t>info@bier.de</t>
  </si>
  <si>
    <t>www.bier.de</t>
  </si>
  <si>
    <t>DE987654321</t>
  </si>
  <si>
    <t>ID-778</t>
  </si>
  <si>
    <t>Nebenstraße 2</t>
  </si>
  <si>
    <t>Müller Max</t>
  </si>
  <si>
    <t>Max</t>
  </si>
  <si>
    <t>Müller</t>
  </si>
  <si>
    <t>Geschäftsführer</t>
  </si>
  <si>
    <t>Geschäftsführung</t>
  </si>
  <si>
    <t>max@bratwurst.de</t>
  </si>
  <si>
    <t>TL-1008</t>
  </si>
  <si>
    <t>Auto AG</t>
  </si>
  <si>
    <t>Industriestraße</t>
  </si>
  <si>
    <t>München</t>
  </si>
  <si>
    <t>DE234567890</t>
  </si>
  <si>
    <t>buchhaltung@auto.de</t>
  </si>
  <si>
    <t>ID-888</t>
  </si>
  <si>
    <t>kontakt@auto.de</t>
  </si>
  <si>
    <t>www.auto.de</t>
  </si>
  <si>
    <t>Automobil</t>
  </si>
  <si>
    <t>Anna Schmidt</t>
  </si>
  <si>
    <t>Produktion</t>
  </si>
  <si>
    <t>Auto AG - B2C</t>
  </si>
  <si>
    <t>Industriestraße 50</t>
  </si>
  <si>
    <t>Bayern</t>
  </si>
  <si>
    <t>60 Tage</t>
  </si>
  <si>
    <t>EXT-008</t>
  </si>
  <si>
    <t>DE00987654321098765432</t>
  </si>
  <si>
    <t>COMMDEFF</t>
  </si>
  <si>
    <t>Nein</t>
  </si>
  <si>
    <t>Motor GmbH</t>
  </si>
  <si>
    <t>Motor GmbH - B2B</t>
  </si>
  <si>
    <t>info@motor.de</t>
  </si>
  <si>
    <t>www.motor.de</t>
  </si>
  <si>
    <t>DE876543210</t>
  </si>
  <si>
    <t>ID-889</t>
  </si>
  <si>
    <t>Werkstraße 1</t>
  </si>
  <si>
    <t>Schmidt Anna</t>
  </si>
  <si>
    <t>Anna</t>
  </si>
  <si>
    <t>Schmidt</t>
  </si>
  <si>
    <t>Vorstand</t>
  </si>
  <si>
    <t>Vertrieb</t>
  </si>
  <si>
    <t>anna@auto.de</t>
  </si>
  <si>
    <t>Calle</t>
  </si>
  <si>
    <t>Número</t>
  </si>
  <si>
    <t>Código postal</t>
  </si>
  <si>
    <t>Ciudad</t>
  </si>
  <si>
    <t>País</t>
  </si>
  <si>
    <t>Idioma</t>
  </si>
  <si>
    <t>Número de IVA</t>
  </si>
  <si>
    <t>Dirección de correo electrónico para la facturación</t>
  </si>
  <si>
    <t>Número de identificación nacional</t>
  </si>
  <si>
    <t>Dirección de correo electrónico</t>
  </si>
  <si>
    <t>Sitio web</t>
  </si>
  <si>
    <t>Tipo de asunto</t>
  </si>
  <si>
    <t>Teléfono</t>
  </si>
  <si>
    <t>Etiquetas</t>
  </si>
  <si>
    <t>Gerente de cuentas</t>
  </si>
  <si>
    <t>Activo</t>
  </si>
  <si>
    <t>Código APE</t>
  </si>
  <si>
    <t>Nombre + Tipo de negocio</t>
  </si>
  <si>
    <t>Calle + Número</t>
  </si>
  <si>
    <t>Provincia</t>
  </si>
  <si>
    <t>Información general</t>
  </si>
  <si>
    <t>Lista de precios</t>
  </si>
  <si>
    <t>obligación del IVA</t>
  </si>
  <si>
    <t>Condiciones de pago</t>
  </si>
  <si>
    <t>ID externo</t>
  </si>
  <si>
    <t>Número de cuenta IBAN</t>
  </si>
  <si>
    <t>Correos electrónicos de marketing con suscripción voluntaria</t>
  </si>
  <si>
    <t>Dirección de entrega: Nombre</t>
  </si>
  <si>
    <t>Dirección de entrega: Calle</t>
  </si>
  <si>
    <t>Dirección de entrega: Número</t>
  </si>
  <si>
    <t>Dirección de entrega: Calle + Número</t>
  </si>
  <si>
    <t>Dirección de entrega: Código postal</t>
  </si>
  <si>
    <t>Dirección de entrega: Ciudad</t>
  </si>
  <si>
    <t>Dirección de entrega: País</t>
  </si>
  <si>
    <t>Dirección de entrega: Provincia</t>
  </si>
  <si>
    <t>Dirección de facturación: Nombre</t>
  </si>
  <si>
    <t>Dirección de facturación: Calle</t>
  </si>
  <si>
    <t>Dirección de facturación: Número</t>
  </si>
  <si>
    <t>Dirección de facturación: Calle + Número</t>
  </si>
  <si>
    <t>Dirección de facturación: Código postal</t>
  </si>
  <si>
    <t>Dirección de facturación: Ciudad</t>
  </si>
  <si>
    <t>Dirección de facturación: País</t>
  </si>
  <si>
    <t>Dirección de facturación: Provincia</t>
  </si>
  <si>
    <t>Dirección de visita: Nombre</t>
  </si>
  <si>
    <t>Dirección de visita: Calle</t>
  </si>
  <si>
    <t>Dirección de visita: Número</t>
  </si>
  <si>
    <t>Dirección de visita: Calle + Número</t>
  </si>
  <si>
    <t>Dirección de visita: Código postal</t>
  </si>
  <si>
    <t>Dirección de visita: Ciudad</t>
  </si>
  <si>
    <t>Dirección de visita: País</t>
  </si>
  <si>
    <t>Dirección de visita: Provincia</t>
  </si>
  <si>
    <t>Empresa vinculada: Nombre</t>
  </si>
  <si>
    <t>Empresa vinculada: Nombre + Tipo de negocio</t>
  </si>
  <si>
    <t>Empresa vinculada: Teléfono</t>
  </si>
  <si>
    <t>Empresa vinculada: Fax</t>
  </si>
  <si>
    <t>Empresa vinculada: Dirección de correo electrónico</t>
  </si>
  <si>
    <t>Empresa vinculada: Sitio web</t>
  </si>
  <si>
    <t>Empresa vinculada: número de IVA</t>
  </si>
  <si>
    <t>Empresa vinculada: Identificación Nacional N°</t>
  </si>
  <si>
    <t>Empresa vinculada: calle/número</t>
  </si>
  <si>
    <t>Empresa vinculada: código postal</t>
  </si>
  <si>
    <t>Empresa vinculada: City</t>
  </si>
  <si>
    <t>Contacto 1: Apellido + Nombre</t>
  </si>
  <si>
    <t>Contacto 1: Nombre + Apellido</t>
  </si>
  <si>
    <t>Contacto 1: Nombre</t>
  </si>
  <si>
    <t>Contacto 1: Apellido</t>
  </si>
  <si>
    <t>Contacto 1: Función</t>
  </si>
  <si>
    <t>Contacto 1: Subfunción</t>
  </si>
  <si>
    <t>Contacto 1: Departamento</t>
  </si>
  <si>
    <t>Contacto 1: Teléfono</t>
  </si>
  <si>
    <t>Contacto 1: Móvil</t>
  </si>
  <si>
    <t>Contacto 1: Fax</t>
  </si>
  <si>
    <t>Contacto 1: Correo electrónico</t>
  </si>
  <si>
    <t>Tarifa por hora</t>
  </si>
  <si>
    <t>TL-1009</t>
  </si>
  <si>
    <t>Paella S.L.</t>
  </si>
  <si>
    <t>Calle Mayor</t>
  </si>
  <si>
    <t>Madrid</t>
  </si>
  <si>
    <t>España</t>
  </si>
  <si>
    <t>ES</t>
  </si>
  <si>
    <t>ESB12345678</t>
  </si>
  <si>
    <t>facturacion@paella.es</t>
  </si>
  <si>
    <t>ID-999</t>
  </si>
  <si>
    <t>info@paella.es</t>
  </si>
  <si>
    <t>www.paella.es</t>
  </si>
  <si>
    <t>Restauración</t>
  </si>
  <si>
    <t>Carlos García</t>
  </si>
  <si>
    <t>Sí</t>
  </si>
  <si>
    <t>Hostelería</t>
  </si>
  <si>
    <t>Paella S.L. - B2B</t>
  </si>
  <si>
    <t>Calle Mayor 12</t>
  </si>
  <si>
    <t>Estándar</t>
  </si>
  <si>
    <t>30 Días</t>
  </si>
  <si>
    <t>EXT-009</t>
  </si>
  <si>
    <t>ES0012345678901234567890</t>
  </si>
  <si>
    <t>BSCHESMM</t>
  </si>
  <si>
    <t>Tapas S.A.</t>
  </si>
  <si>
    <t>Tapas S.A. - B2B</t>
  </si>
  <si>
    <t>info@tapas.es</t>
  </si>
  <si>
    <t>www.tapas.es</t>
  </si>
  <si>
    <t>ESA87654321</t>
  </si>
  <si>
    <t>ID-998</t>
  </si>
  <si>
    <t>Plaza Menor 3</t>
  </si>
  <si>
    <t>García Carlos</t>
  </si>
  <si>
    <t>Carlos</t>
  </si>
  <si>
    <t>García</t>
  </si>
  <si>
    <t>Director</t>
  </si>
  <si>
    <t>Dirección</t>
  </si>
  <si>
    <t>carlos@paella.es</t>
  </si>
  <si>
    <t>TL-1010</t>
  </si>
  <si>
    <t>Sol S.A.</t>
  </si>
  <si>
    <t>Avenida Diagonal</t>
  </si>
  <si>
    <t>Barcelona</t>
  </si>
  <si>
    <t>ESA23456789</t>
  </si>
  <si>
    <t>contabilidad@sol.es</t>
  </si>
  <si>
    <t>ID-101</t>
  </si>
  <si>
    <t>contacto@sol.es</t>
  </si>
  <si>
    <t>www.sol.es</t>
  </si>
  <si>
    <t>Energía</t>
  </si>
  <si>
    <t>María López</t>
  </si>
  <si>
    <t>Servicios</t>
  </si>
  <si>
    <t>Sol S.A. - B2C</t>
  </si>
  <si>
    <t>Avenida Diagonal 100</t>
  </si>
  <si>
    <t>60 Días</t>
  </si>
  <si>
    <t>EXT-010</t>
  </si>
  <si>
    <t>ES0098765432109876543210</t>
  </si>
  <si>
    <t>BBVAESMM</t>
  </si>
  <si>
    <t>Luna S.L.</t>
  </si>
  <si>
    <t>Luna S.L. - B2B</t>
  </si>
  <si>
    <t>info@luna.es</t>
  </si>
  <si>
    <t>www.luna.es</t>
  </si>
  <si>
    <t>ESB98765432</t>
  </si>
  <si>
    <t>ID-102</t>
  </si>
  <si>
    <t>Carrer Nou 5</t>
  </si>
  <si>
    <t>López María</t>
  </si>
  <si>
    <t>María</t>
  </si>
  <si>
    <t>López</t>
  </si>
  <si>
    <t>Gerente</t>
  </si>
  <si>
    <t>Ventas</t>
  </si>
  <si>
    <t>maria@sol.es</t>
  </si>
  <si>
    <t>Nome</t>
  </si>
  <si>
    <t>Strada</t>
  </si>
  <si>
    <t>Numero</t>
  </si>
  <si>
    <t>Cap</t>
  </si>
  <si>
    <t>Città</t>
  </si>
  <si>
    <t>Paese</t>
  </si>
  <si>
    <t>Lingua</t>
  </si>
  <si>
    <t>Partita IVA</t>
  </si>
  <si>
    <t>Indirizzo email per la fatturazione</t>
  </si>
  <si>
    <t>Numero di identificazione nazionale</t>
  </si>
  <si>
    <t>Indirizzo e-mail</t>
  </si>
  <si>
    <t>Sito web</t>
  </si>
  <si>
    <t>Tipo di attività</t>
  </si>
  <si>
    <t>Telefono</t>
  </si>
  <si>
    <t>Etichette</t>
  </si>
  <si>
    <t>Account Manager</t>
  </si>
  <si>
    <t>Attivo</t>
  </si>
  <si>
    <t>Settore</t>
  </si>
  <si>
    <t>Codice APE</t>
  </si>
  <si>
    <t>Nome + Tipo di attività</t>
  </si>
  <si>
    <t>Via + Numero civico</t>
  </si>
  <si>
    <t>Informazioni di base</t>
  </si>
  <si>
    <t>Listino prezzi</t>
  </si>
  <si>
    <t>obblighi IVA</t>
  </si>
  <si>
    <t>Termini di pagamento</t>
  </si>
  <si>
    <t>ID</t>
  </si>
  <si>
    <t>Numero di conto IBAN</t>
  </si>
  <si>
    <t>Email di marketing a cui si aderisce</t>
  </si>
  <si>
    <t>Indirizzo di consegna: Nome</t>
  </si>
  <si>
    <t>Indirizzo di consegna: Via</t>
  </si>
  <si>
    <t>Indirizzo di consegna: Numero</t>
  </si>
  <si>
    <t>Indirizzo di consegna: Via + Numero civico</t>
  </si>
  <si>
    <t>Indirizzo di consegna: Codice postale</t>
  </si>
  <si>
    <t>Indirizzo di consegna: Città</t>
  </si>
  <si>
    <t>Indirizzo di consegna: Paese</t>
  </si>
  <si>
    <t>Indirizzo di consegna: Provincia</t>
  </si>
  <si>
    <t>Indirizzo di fatturazione: Nome</t>
  </si>
  <si>
    <t>Indirizzo di fatturazione: Via</t>
  </si>
  <si>
    <t>Indirizzo di fatturazione: Numero</t>
  </si>
  <si>
    <t>Indirizzo di fatturazione: Via + Numero civico</t>
  </si>
  <si>
    <t>Indirizzo di fatturazione: Codice postale</t>
  </si>
  <si>
    <t>Indirizzo di fatturazione: Città</t>
  </si>
  <si>
    <t>Indirizzo di fatturazione: Paese</t>
  </si>
  <si>
    <t>Indirizzo di fatturazione: Provincia</t>
  </si>
  <si>
    <t>Indirizzo di visita: Nome</t>
  </si>
  <si>
    <t>Indirizzo di visita: Via</t>
  </si>
  <si>
    <t>Indirizzo di visita: Numero</t>
  </si>
  <si>
    <t>Indirizzo da visitare: Via + Numero civico</t>
  </si>
  <si>
    <t>Indirizzo da visitare: Codice postale</t>
  </si>
  <si>
    <t>Indirizzo di visita: Città</t>
  </si>
  <si>
    <t>Indirizzo di visita: Paese</t>
  </si>
  <si>
    <t>Indirizzo di visita: Provincia</t>
  </si>
  <si>
    <t>Azienda collegata: Nome</t>
  </si>
  <si>
    <t>Azienda collegata: Nome + Tipo di attività</t>
  </si>
  <si>
    <t>Azienda collegata: Telefono</t>
  </si>
  <si>
    <t>Azienda collegata: Fax</t>
  </si>
  <si>
    <t>Azienda collegata: Indirizzo e-mail</t>
  </si>
  <si>
    <t>Azienda collegata: Sito web</t>
  </si>
  <si>
    <t>Società collegata: Partita IVA</t>
  </si>
  <si>
    <t>Società collegata: Numero di identificazione nazionale</t>
  </si>
  <si>
    <t>Azienda collegata: via/numero civico</t>
  </si>
  <si>
    <t>Azienda collegata: codice postale</t>
  </si>
  <si>
    <t>Società collegata: City</t>
  </si>
  <si>
    <t>Contatto 1: Cognome + Nome</t>
  </si>
  <si>
    <t>Contatto 1: Nome + Cognome</t>
  </si>
  <si>
    <t>Contatto 1: Nome</t>
  </si>
  <si>
    <t>Contatto 1: Cognome</t>
  </si>
  <si>
    <t>Contatto 1: Funzione</t>
  </si>
  <si>
    <t>Contatto 1: Sottofunzione</t>
  </si>
  <si>
    <t>Contatto 1: Dipartimento</t>
  </si>
  <si>
    <t>Contatto 1: Telefono</t>
  </si>
  <si>
    <t>Contatto 1: Cellulare</t>
  </si>
  <si>
    <t>Contatto 1: Fax</t>
  </si>
  <si>
    <t>Contatto 1: Email</t>
  </si>
  <si>
    <t>Tariffa oraria</t>
  </si>
  <si>
    <t>TL-1011</t>
  </si>
  <si>
    <t>Pizza S.r.l.</t>
  </si>
  <si>
    <t>Via Roma</t>
  </si>
  <si>
    <t>Roma</t>
  </si>
  <si>
    <t>Italia</t>
  </si>
  <si>
    <t>IT12345678901</t>
  </si>
  <si>
    <t>fatturazione@pizza.it</t>
  </si>
  <si>
    <t>info@pizza.it</t>
  </si>
  <si>
    <t>www.pizza.it</t>
  </si>
  <si>
    <t>Ristorazione</t>
  </si>
  <si>
    <t>Mario Rossi</t>
  </si>
  <si>
    <t>Sì</t>
  </si>
  <si>
    <t>Alimentare</t>
  </si>
  <si>
    <t>Pizza S.r.l. - B2B</t>
  </si>
  <si>
    <t>Via Roma 10</t>
  </si>
  <si>
    <t>RM</t>
  </si>
  <si>
    <t>30 Giorni</t>
  </si>
  <si>
    <t>EXT-011</t>
  </si>
  <si>
    <t>IT00A1234567890123456789012</t>
  </si>
  <si>
    <t>UNCRITM1</t>
  </si>
  <si>
    <t>Pasta S.p.A.</t>
  </si>
  <si>
    <t>Pasta S.p.A. - B2B</t>
  </si>
  <si>
    <t>info@pasta.it</t>
  </si>
  <si>
    <t>www.pasta.it</t>
  </si>
  <si>
    <t>IT09876543210</t>
  </si>
  <si>
    <t>Via Milano 20</t>
  </si>
  <si>
    <t>Rossi Mario</t>
  </si>
  <si>
    <t>Mario</t>
  </si>
  <si>
    <t>Rossi</t>
  </si>
  <si>
    <t>Amministratore</t>
  </si>
  <si>
    <t>Direzione</t>
  </si>
  <si>
    <t>mario@pizza.it</t>
  </si>
  <si>
    <t>TL-1012</t>
  </si>
  <si>
    <t>Moda S.p.A.</t>
  </si>
  <si>
    <t>Via Montenapoleone</t>
  </si>
  <si>
    <t>Milano</t>
  </si>
  <si>
    <t>IT23456789012</t>
  </si>
  <si>
    <t>amministrazione@moda.it</t>
  </si>
  <si>
    <t>ID-122</t>
  </si>
  <si>
    <t>contatti@moda.it</t>
  </si>
  <si>
    <t>www.moda.it</t>
  </si>
  <si>
    <t>Abbigliamento</t>
  </si>
  <si>
    <t>Giulia Bianchi</t>
  </si>
  <si>
    <t>Moda</t>
  </si>
  <si>
    <t>Moda S.p.A. - B2C</t>
  </si>
  <si>
    <t>Via Montenapoleone 5</t>
  </si>
  <si>
    <t>MI</t>
  </si>
  <si>
    <t>60 Giorni</t>
  </si>
  <si>
    <t>EXT-012</t>
  </si>
  <si>
    <t>IT00B9876543210987654321098</t>
  </si>
  <si>
    <t>BROMITM1</t>
  </si>
  <si>
    <t>Scarpe S.r.l.</t>
  </si>
  <si>
    <t>Scarpe S.r.l. - B2B</t>
  </si>
  <si>
    <t>info@scarpe.it</t>
  </si>
  <si>
    <t>www.scarpe.it</t>
  </si>
  <si>
    <t>IT87654321098</t>
  </si>
  <si>
    <t>ID-123</t>
  </si>
  <si>
    <t>Corso Venezia 1</t>
  </si>
  <si>
    <t>Bianchi Giulia</t>
  </si>
  <si>
    <t>Giulia</t>
  </si>
  <si>
    <t>Bianchi</t>
  </si>
  <si>
    <t>Direttrice</t>
  </si>
  <si>
    <t>Vendite</t>
  </si>
  <si>
    <t>giulia@moda.it</t>
  </si>
  <si>
    <t>Field</t>
  </si>
  <si>
    <t>Allowed value</t>
  </si>
  <si>
    <t>Veld</t>
  </si>
  <si>
    <t>Toegestane waarde</t>
  </si>
  <si>
    <t>Champ</t>
  </si>
  <si>
    <t>Valeur autorisée</t>
  </si>
  <si>
    <t>Zulässiger Wert</t>
  </si>
  <si>
    <t>Campo</t>
  </si>
  <si>
    <t>Valore consentito</t>
  </si>
  <si>
    <t>Valor permitido</t>
  </si>
  <si>
    <t>Check that all email addresses have the symbol @
Check that are not special characters not accepted on an email address
Only one email address per column is accepted</t>
  </si>
  <si>
    <t>Controleer of alle e-mailadressen het symbool @ bevatten.
Controleer of er geen speciale tekens zijn die niet toegestaan zijn in een e-mailadres.
In elke kolom mag slechts een e-mailadres staan.</t>
  </si>
  <si>
    <t>Adresse e-mail</t>
  </si>
  <si>
    <t>Vérifiez que toutes les adresses e-mail ont le symbole @
Vérifiez qu'il n'y a pas de spéciaux non acceptés dans les adresses e-mail
Seule une adresse e-mail est acceptée par colonne</t>
  </si>
  <si>
    <t>Prüfen Sie, ob alle E-Mail-Adressen das @-Zeichen haben
Stellen Sie sicher, dass sich in E-Mail-Adressen keine unzulässigen Sonderzeichen befinden
Nur eine E-Mail- Adresse pro Spalte ist erlaubt</t>
  </si>
  <si>
    <t>Indirizzo email</t>
  </si>
  <si>
    <t>Verifica che tutti gli indirizzi email contengano il simbolo @
Verifica che non vi siano caratteri speciali non consentiti in un indirizzo email
È consentito soltanto un indirizzo email per colonna</t>
  </si>
  <si>
    <t>Dirección de email</t>
  </si>
  <si>
    <t>- Verifica que todas las direcciones de email tengan el símbolo @.
- Verifica que no haya caracteres especiales no aceptados en una dirección de email.
- Solo se acepta una dirección de email por columna.</t>
  </si>
  <si>
    <r>
      <t xml:space="preserve">Check that all websites include </t>
    </r>
    <r>
      <rPr>
        <rFont val="&quot;Halyard Text&quot;, Helvetica, Arial, sans-serif"/>
        <color rgb="FF1155CC"/>
        <u/>
      </rPr>
      <t>www</t>
    </r>
    <r>
      <rPr>
        <rFont val="&quot;Halyard Text&quot;, Helvetica, Arial, sans-serif"/>
      </rPr>
      <t>. and .com/.uk/.es/etc...
Only one website per column is accepted</t>
    </r>
  </si>
  <si>
    <r>
      <t xml:space="preserve">Controleer of alle websites </t>
    </r>
    <r>
      <rPr>
        <rFont val="&quot;Halyard Text&quot;, Helvetica, Arial, sans-serif"/>
        <color rgb="FF1155CC"/>
        <u/>
      </rPr>
      <t>www.</t>
    </r>
    <r>
      <rPr>
        <rFont val="&quot;Halyard Text&quot;, Helvetica, Arial, sans-serif"/>
      </rPr>
      <t xml:space="preserve"> bevatten en .com/.uk/.es enz.
In elke kolom mag slechts een website staan.</t>
    </r>
  </si>
  <si>
    <t>Site Web</t>
  </si>
  <si>
    <t>Vérifiez que tous les sites Web incluent www. et .com/.uk/.es/etc...
Seul un site Web par colonne est accepté</t>
  </si>
  <si>
    <t>Prüfen Sie, ob sich in allen Websites www. und .com/.uk/.es/etc.
Nur eine Website pro Spalte ist erlaubt</t>
  </si>
  <si>
    <t>Verifica che tutti i siti web includano www. e .com/.it/.eu/ ecc...
È consentito soltanto un sito web per colonna</t>
  </si>
  <si>
    <r>
      <t xml:space="preserve">- Comprueba que todos los sitios web incluyan </t>
    </r>
    <r>
      <rPr>
        <rFont val="&quot;Halyard Text&quot;, Helvetica, Arial, sans-serif"/>
        <color rgb="FF1155CC"/>
        <u/>
      </rPr>
      <t>www</t>
    </r>
    <r>
      <rPr>
        <rFont val="&quot;Halyard Text&quot;, Helvetica, Arial, sans-serif"/>
      </rPr>
      <t>. y .com/.uk/.es/etc...
- Solo se acepta un sitio web por columna.</t>
    </r>
  </si>
  <si>
    <t>Only one telephone number per column is accepted</t>
  </si>
  <si>
    <t>In elke kolom mag slechts een telefoonnummer staan.</t>
  </si>
  <si>
    <t>Seul un numéro de téléphone par colonne est accepté</t>
  </si>
  <si>
    <t>Nur eine Telefonnummer pro Spalte ist erlaubt</t>
  </si>
  <si>
    <t>È consentito soltanto un numero di telefono per colonna</t>
  </si>
  <si>
    <t>- Solo se acepta un número de teléfono por columna.</t>
  </si>
  <si>
    <t>Only one fax number per column is accepted</t>
  </si>
  <si>
    <t>In elke kolom mag slechts een faxnummer staan.</t>
  </si>
  <si>
    <t>Seul un numéro de fax par colonne est accepté</t>
  </si>
  <si>
    <t>Nur eine Faxnummer pro Spalte ist erlaubt</t>
  </si>
  <si>
    <t>È consentito soltanto un numero di fax per colonna</t>
  </si>
  <si>
    <t>- Solo se acepta un número de fax por columna.</t>
  </si>
  <si>
    <t>Different options need to be in one column, separated by a comma.
Unknown options will be added to the list of options.</t>
  </si>
  <si>
    <t>Er moeten meerdere opties staan in een kolom, gescheiden door een komma.
Onbekende opties worden toegevoegd aan de lijst van opties.</t>
  </si>
  <si>
    <t>Les options différentes doivent être dans une colonne, séparées par une virgule.
Les options inconnues seront ajoutées à la liste des options.</t>
  </si>
  <si>
    <t>Labels</t>
  </si>
  <si>
    <t>Mehrere Optionen müssen durch Komma getrennt in einer Spalte stehen.
Unbekannte Optionen werden der Liste mit Optionen hinzugefügt.</t>
  </si>
  <si>
    <t>Tag</t>
  </si>
  <si>
    <t>Diverse opzioni devono essere nella stessa colonna, separate da una virgola.
Le opzioni sconosciute verranno aggiunte all’elenco di opzioni.</t>
  </si>
  <si>
    <t>- Las distintas opciones deben estar en una misma columna, separadas por coma.
- Si tu Excel tiene opciones que no existen aún en Teamleader Focus, se crearán sobre la marcha.</t>
  </si>
  <si>
    <r>
      <t xml:space="preserve">Extended names are not accepted.
Only </t>
    </r>
    <r>
      <rPr>
        <rFont val="&quot;Halyard Text&quot;, Helvetica, Arial, sans-serif"/>
        <color rgb="FF1155CC"/>
        <u/>
      </rPr>
      <t>ISO codes</t>
    </r>
    <r>
      <rPr>
        <rFont val="&quot;Halyard Text&quot;, Helvetica, Arial, sans-serif"/>
      </rPr>
      <t xml:space="preserve"> (2 letters accepted)</t>
    </r>
  </si>
  <si>
    <r>
      <t xml:space="preserve">Voluit geschreven namen zijn niet toegestaan.
Alleen </t>
    </r>
    <r>
      <rPr>
        <rFont val="&quot;Halyard Text&quot;, Helvetica, Arial, sans-serif"/>
        <color rgb="FF1155CC"/>
        <u/>
      </rPr>
      <t>ISO-codes</t>
    </r>
    <r>
      <rPr>
        <rFont val="&quot;Halyard Text&quot;, Helvetica, Arial, sans-serif"/>
      </rPr>
      <t xml:space="preserve"> zijn toegestaan (twee letters).</t>
    </r>
  </si>
  <si>
    <r>
      <t xml:space="preserve">Les noms développés ne sont pas acceptés.
Seuls </t>
    </r>
    <r>
      <rPr>
        <rFont val="&quot;Halyard Text&quot;, Helvetica, Arial, sans-serif"/>
        <color rgb="FF1155CC"/>
        <u/>
      </rPr>
      <t>les codes ISO</t>
    </r>
    <r>
      <rPr>
        <rFont val="&quot;Halyard Text&quot;, Helvetica, Arial, sans-serif"/>
      </rPr>
      <t xml:space="preserve"> (2 lettres acceptées)</t>
    </r>
  </si>
  <si>
    <r>
      <t xml:space="preserve">Erweiterte Bezeichnungen sind nicht erlaubt.
Nur </t>
    </r>
    <r>
      <rPr>
        <rFont val="&quot;Halyard Text&quot;, Helvetica, Arial, sans-serif"/>
        <color rgb="FF1155CC"/>
        <u/>
      </rPr>
      <t>ISO-Codes</t>
    </r>
    <r>
      <rPr>
        <rFont val="&quot;Halyard Text&quot;, Helvetica, Arial, sans-serif"/>
      </rPr>
      <t xml:space="preserve"> (2 Buchstaben erlaubt)</t>
    </r>
  </si>
  <si>
    <r>
      <t xml:space="preserve">I nomi completi non sono consentiti.
Soltanto </t>
    </r>
    <r>
      <rPr>
        <rFont val="&quot;Halyard Text&quot;, Helvetica, Arial, sans-serif"/>
        <color rgb="FF1155CC"/>
        <u/>
      </rPr>
      <t>Codici ISO</t>
    </r>
    <r>
      <rPr>
        <rFont val="&quot;Halyard Text&quot;, Helvetica, Arial, sans-serif"/>
      </rPr>
      <t xml:space="preserve"> (2 lettere consentite)</t>
    </r>
  </si>
  <si>
    <r>
      <t xml:space="preserve">- No se aceptan nombres extendidos (por ejemplo España, Spain, Francia, France etc...).
- Solo </t>
    </r>
    <r>
      <rPr>
        <rFont val="&quot;Halyard Text&quot;, Helvetica, Arial, sans-serif"/>
        <color rgb="FF1155CC"/>
        <u/>
      </rPr>
      <t xml:space="preserve">códigos ISO </t>
    </r>
    <r>
      <rPr>
        <rFont val="&quot;Halyard Text&quot;, Helvetica, Arial, sans-serif"/>
      </rPr>
      <t>(se aceptan 2 letras, por ejemplo ES, FR, UK etc...)</t>
    </r>
  </si>
  <si>
    <r>
      <t xml:space="preserve">Extended names are not accepted.
Only </t>
    </r>
    <r>
      <rPr>
        <rFont val="&quot;Halyard Text&quot;, Helvetica, Arial, sans-serif"/>
        <color rgb="FF1155CC"/>
        <u/>
      </rPr>
      <t>ISO codes</t>
    </r>
    <r>
      <rPr>
        <rFont val="&quot;Halyard Text&quot;, Helvetica, Arial, sans-serif"/>
      </rPr>
      <t xml:space="preserve"> (2 letters accepted)</t>
    </r>
  </si>
  <si>
    <r>
      <t xml:space="preserve">Voluit geschreven namen zijn niet toegestaan.
Alleen </t>
    </r>
    <r>
      <rPr>
        <rFont val="&quot;Halyard Text&quot;, Helvetica, Arial, sans-serif"/>
        <color rgb="FF1155CC"/>
        <u/>
      </rPr>
      <t>ISO-codes</t>
    </r>
    <r>
      <rPr>
        <rFont val="&quot;Halyard Text&quot;, Helvetica, Arial, sans-serif"/>
      </rPr>
      <t xml:space="preserve"> zijn toegestaan (2 letters).</t>
    </r>
  </si>
  <si>
    <r>
      <t xml:space="preserve">Les noms étendus ne sont pas acceptés.
Seuls </t>
    </r>
    <r>
      <rPr>
        <rFont val="&quot;Halyard Text&quot;, Helvetica, Arial, sans-serif"/>
        <color rgb="FF1155CC"/>
        <u/>
      </rPr>
      <t>les codes ISO</t>
    </r>
    <r>
      <rPr>
        <rFont val="&quot;Halyard Text&quot;, Helvetica, Arial, sans-serif"/>
      </rPr>
      <t xml:space="preserve"> (2 lettres acceptées)</t>
    </r>
  </si>
  <si>
    <r>
      <t xml:space="preserve">Erweiterte Bezeichnungen sind nicht erlaubt.
Nur </t>
    </r>
    <r>
      <rPr>
        <rFont val="&quot;Halyard Text&quot;, Helvetica, Arial, sans-serif"/>
        <color rgb="FF1155CC"/>
        <u/>
      </rPr>
      <t>ISO-Codes</t>
    </r>
    <r>
      <rPr>
        <rFont val="&quot;Halyard Text&quot;, Helvetica, Arial, sans-serif"/>
      </rPr>
      <t xml:space="preserve"> (2 Buchstaben erlaubt)</t>
    </r>
  </si>
  <si>
    <r>
      <t xml:space="preserve">I nomi completi non sono consentiti.
Soltanto </t>
    </r>
    <r>
      <rPr>
        <rFont val="&quot;Halyard Text&quot;, Helvetica, Arial, sans-serif"/>
        <color rgb="FF1155CC"/>
        <u/>
      </rPr>
      <t>codici ISO</t>
    </r>
    <r>
      <rPr>
        <rFont val="&quot;Halyard Text&quot;, Helvetica, Arial, sans-serif"/>
      </rPr>
      <t xml:space="preserve"> (2 lettere consentite)</t>
    </r>
  </si>
  <si>
    <r>
      <t xml:space="preserve">- No se aceptan nombres extendidos (por ejemplo Español, Spanish, Inglés, English...)
- Solo </t>
    </r>
    <r>
      <rPr>
        <rFont val="&quot;Halyard Text&quot;, Helvetica, Arial, sans-serif"/>
        <color rgb="FF1155CC"/>
        <u/>
      </rPr>
      <t xml:space="preserve">códigos ISO </t>
    </r>
    <r>
      <rPr>
        <rFont val="&quot;Halyard Text&quot;, Helvetica, Arial, sans-serif"/>
      </rPr>
      <t>(se aceptan 2 letras, por ejemplo ES, EN, FR etc...)</t>
    </r>
  </si>
  <si>
    <r>
      <t xml:space="preserve">Cash:
CONT/CONTANT/0D: payment term cash (0 days)
Default payment terms:
7, 21, 30, 7D, 21D, 30D… : normal payment term
Flexible payment terms:
If you use custom payment terms, you can upload these as well. They will be kept as a preference for your customer.
You can also </t>
    </r>
    <r>
      <rPr>
        <rFont val="&quot;Halyard Text&quot;, Helvetica, Arial, sans-serif"/>
        <color rgb="FF1155CC"/>
        <u/>
      </rPr>
      <t>create custom payment</t>
    </r>
    <r>
      <rPr>
        <rFont val="&quot;Halyard Text&quot;, Helvetica, Arial, sans-serif"/>
      </rPr>
      <t xml:space="preserve"> terms within Teamleader Focus.
End of month:
30DEM: 30 days after the end of the month (identical for 60DEM and 90DEM)</t>
    </r>
  </si>
  <si>
    <t>Betalingstermijn</t>
  </si>
  <si>
    <r>
      <t xml:space="preserve">Contant:
CONT/CONTANT/0D: betalingstermijn contant (0 dagen)
Standaard Betalingstermijn
7, 21, 30, 7D, 21D, 30D...: normale betalingstermijn
Flexibele betalingstermijn:
Als je aangepaste betalingstermijnen gebruikt, kun je deze ook uploaden. Ze worden dan opgeslagen als voorkeur voor je klant.
Je kunt ook </t>
    </r>
    <r>
      <rPr>
        <rFont val="&quot;Halyard Text&quot;, Helvetica, Arial, sans-serif"/>
        <color rgb="FF1155CC"/>
        <u/>
      </rPr>
      <t>aangepaste betalingstermijnen</t>
    </r>
    <r>
      <rPr>
        <rFont val="&quot;Halyard Text&quot;, Helvetica, Arial, sans-serif"/>
      </rPr>
      <t xml:space="preserve"> aanmaken in Teamleader Focus.
Einde maand:
30DEM: 30 dagen na het einde van de maand (hetzelfde geldt voor 60DEM en 90DEM)</t>
    </r>
  </si>
  <si>
    <t>Modalités de paiement</t>
  </si>
  <si>
    <r>
      <t xml:space="preserve">Cash:
COMPT/COMPTANT/0J: modalité de paiement cash (0 jour)
Modalités de paiement par défaut :
7, 21, 30, 7J, 21J, 30J… : modalité de paiement normale
Modalités de paiement flexibles :
Si vous utilisez des modalités de paiement personnalisées, vous pouvez également les charger. Elles seront conservées comme une préférence pour votre client.
Vous pouvez également </t>
    </r>
    <r>
      <rPr>
        <rFont val="&quot;Halyard Text&quot;, Helvetica, Arial, sans-serif"/>
        <color rgb="FF1155CC"/>
        <u/>
      </rPr>
      <t>créer des modalités de paiement personnalisées</t>
    </r>
    <r>
      <rPr>
        <rFont val="&quot;Halyard Text&quot;, Helvetica, Arial, sans-serif"/>
      </rPr>
      <t xml:space="preserve"> dans Teamleader Focus.
Fin de mois :
30JFM : 30 jours fin du mois (identique pour 60JFM et 90JFM)</t>
    </r>
  </si>
  <si>
    <r>
      <t xml:space="preserve">Barzahlung:
CONT/CONTANT/0T: Zahlungsbedingung Barzahlung (0 Tage)
Standardzahlungsbedingungen:
7, 21, 30, 7T, 21T, 30T, …: normale Zahlungsbedingung
Flexible Zahlungsbedingung:
Wenn Sie benutzerdefinierte Zahlungsbedingungen verwenden, können Sie diese hochladen. Sie werden als Präferenz für Ihren Kunden gespeichert.
Sie können auch </t>
    </r>
    <r>
      <rPr>
        <rFont val="&quot;Halyard Text&quot;, Helvetica, Arial, sans-serif"/>
        <color rgb="FF1155CC"/>
        <u/>
      </rPr>
      <t xml:space="preserve">benutzerdefinierte Zahlungsbedingungen </t>
    </r>
    <r>
      <rPr>
        <rFont val="&quot;Halyard Text&quot;, Helvetica, Arial, sans-serif"/>
      </rPr>
      <t>innerhalb von Teamleader Focus erstellen.
Monatsende:
30DEM: 30 Tage nach Monatsende (gleich für 60DEM und 90DEM)</t>
    </r>
  </si>
  <si>
    <r>
      <t xml:space="preserve">Cash:
CONT/CONTANTI/0D: scadenza pagamento in contanti (0 giorni)
Termini di pagamento predefiniti:
7, 21, 30, 7D, 21D, 30D… : termine di pagamento normale
Termini di pagamento flessibili:
Se utilizzi termini di pagamento personalizzati, puoi indicarli. Verranno mantenuti come preferenza del tuo cliente.
Inoltre, puoi </t>
    </r>
    <r>
      <rPr>
        <rFont val="&quot;Halyard Text&quot;, Helvetica, Arial, sans-serif"/>
        <color rgb="FF1155CC"/>
        <u/>
      </rPr>
      <t>creare termini di pagamento personalizzati</t>
    </r>
    <r>
      <rPr>
        <rFont val="&quot;Halyard Text&quot;, Helvetica, Arial, sans-serif"/>
      </rPr>
      <t xml:space="preserve"> in Teamleader Focus.
Fine del mese:
30DEM: 30 giorni dalla fine del mese (identico per 60DEM e 90DEM)</t>
    </r>
  </si>
  <si>
    <t>Condiciones de pago (número de días que ofreces a tu cliente para que pague la factura)</t>
  </si>
  <si>
    <r>
      <t xml:space="preserve">Efectivo:
Puedes escribir CONT/CONTANT/0D: Hace referencia a 0 días.
Condiciones de pago predeterminadas:
Puedes escribir 7, 21, 30, 7D, 21D, 30D… : Hace referencia a las condiciones de pago estándar de Teamleader Focus.
Condiciones de pago flexibles:
Si utilizas condiciones de pago personalizadas, también puedes importarlas. Se mantendrán como preferencia para el cliente.
Haz clic aquí para aprender a </t>
    </r>
    <r>
      <rPr>
        <rFont val="&quot;Halyard Text&quot;, Helvetica, Arial, sans-serif"/>
        <color rgb="FF1155CC"/>
        <u/>
      </rPr>
      <t>crear condiciones de pago personalizadas</t>
    </r>
    <r>
      <rPr>
        <rFont val="&quot;Halyard Text&quot;, Helvetica, Arial, sans-serif"/>
      </rPr>
      <t>.
Final de mes:
Puedes escribir 30DEM, 60DEM o 90DEM: Hace referencia a que al cliente se le da un plazo de 30 días/60 días/90 días después del final de mes.</t>
    </r>
  </si>
  <si>
    <t>No restriction but all information needs to be in one column</t>
  </si>
  <si>
    <t>Achtegrondinformatie</t>
  </si>
  <si>
    <t>Geen beperkingen, maar alle informatie moet in een kolom staan.</t>
  </si>
  <si>
    <t>Informations de base</t>
  </si>
  <si>
    <t>Pas de limitation mais toutes les informations doivent être dans une colonne</t>
  </si>
  <si>
    <t>Keine Einschränkung, aber alle Informationen müssen in einer Spalte stehen</t>
  </si>
  <si>
    <t>Informazioni di background</t>
  </si>
  <si>
    <t>Nessuna restrizione, ma tutte le informazioni devono essere in una sola colonna</t>
  </si>
  <si>
    <t>Observaciones</t>
  </si>
  <si>
    <t>- Sin restricción, pero toda la información debe estar en una misma columna</t>
  </si>
  <si>
    <t>This column allows you to exclude from your mailing list the companies that don’t wish to receive information.
Only the numbers 0 and 1 are accepted.
The number 0 stands for 'Opt-in marketing mails’ = NO and the number 1 stands for 'Opt-in marketing mails' = YES’.</t>
  </si>
  <si>
    <t>Mailing uitschakelen</t>
  </si>
  <si>
    <t>In deze kolom kun je bedrijven die geen informatie willen ontvangen, uitsluiten uit de mailinglijst.
Alleen de cijfers 0 en 1 zijn toegestaan.
Het cijfer 0 betekent 'Mailing uitschakelen = NEE' en het cijfer 1 betekent 'Mailing inschakelen = JA'.</t>
  </si>
  <si>
    <t>Désactiver l'e-mailing</t>
  </si>
  <si>
    <t>Cette colonne vous permet d'exclure de votre liste d'e-mailing les entreprises qui ne souhaitent pas recevoir d'informations.
Seuls les nombres 1 et 0 sont acceptés.
Le nombre 0 signifie "Opt-in courriers marketing" = NON et le nombre 1 signifie "Opt-in courriers marketing" = OUI.</t>
  </si>
  <si>
    <t>Opt-In E-Mailwerbung</t>
  </si>
  <si>
    <t>Anhand dieser Spalte können Sie die Firmen, die keine Informationen erhalten möchten, von Ihrer Mailingliste ausschließen.
Nur die Zahlen 0 und 1 sind erlaubt.
Die Zahl 0 steht für ‚Opt-In E-Mailwerbung = NEIN‘ und die Zahl 1 steht für ‚Opt-In E-Mailwerbung = JA‘.</t>
  </si>
  <si>
    <t>Disabilita mailing list</t>
  </si>
  <si>
    <t>Questa colonna ti consente di escludere dalla tua mailing list le aziende che non desiderano ricevere informazioni. Sono consentiti soltanto i numeri 0 e 1.
Il numero 0 significa “Acconsente alla ricezione di mail commerciali = NO” e il numero 1 sta per “Acconsente alla ricezione di mail commerciali = SI”.</t>
  </si>
  <si>
    <t>Opt-in emails de marketing</t>
  </si>
  <si>
    <t>- Esta columna te permite excluir de tu lista de mailing las empresas que no desean recibir información.
Solo se aceptan los números 0 y 1.
- Si el cliente ha dado permiso para recibir emails de marketing, debes indicar 1. Si el cliente no ha dado permiso para recibir emails de marketing, debes indicar 0.</t>
  </si>
  <si>
    <r>
      <t>Only the numbers 0 and 1 are accepted.
The number 0 stands for '</t>
    </r>
    <r>
      <rPr>
        <rFont val="&quot;Halyard Text&quot;, Helvetica, Arial, sans-serif"/>
        <color rgb="FF1155CC"/>
        <u/>
      </rPr>
      <t>deactivated</t>
    </r>
    <r>
      <rPr>
        <rFont val="&quot;Halyard Text&quot;, Helvetica, Arial, sans-serif"/>
      </rPr>
      <t>’ and the number 1 stands for 'active'.</t>
    </r>
  </si>
  <si>
    <r>
      <t>Alleen de cijfers 0 en 1 zijn toegestaan.
Het cijfer 0 staat voor '</t>
    </r>
    <r>
      <rPr>
        <rFont val="&quot;Halyard Text&quot;, Helvetica, Arial, sans-serif"/>
        <color rgb="FF1155CC"/>
        <u/>
      </rPr>
      <t>gedeactiveerd</t>
    </r>
    <r>
      <rPr>
        <rFont val="&quot;Halyard Text&quot;, Helvetica, Arial, sans-serif"/>
      </rPr>
      <t>' en 1 staat voor 'actief'</t>
    </r>
  </si>
  <si>
    <r>
      <t>Seuls les chiffres 1 et 0 sont acceptés.
Le chiffre 0 voudra dire "</t>
    </r>
    <r>
      <rPr>
        <rFont val="&quot;Halyard Text&quot;, Helvetica, Arial, sans-serif"/>
        <color rgb="FF1155CC"/>
        <u/>
      </rPr>
      <t>désactivé</t>
    </r>
    <r>
      <rPr>
        <rFont val="&quot;Halyard Text&quot;, Helvetica, Arial, sans-serif"/>
      </rPr>
      <t>" et le chiffre 1 "activé"</t>
    </r>
  </si>
  <si>
    <r>
      <t>Es werden nur die Nummern 0 und 1 akzeptiert. Die Nummer 0 steht für "</t>
    </r>
    <r>
      <rPr>
        <rFont val="&quot;Halyard Text&quot;, Helvetica, Arial, sans-serif"/>
        <color rgb="FF1155CC"/>
        <sz val="14.0"/>
        <u/>
      </rPr>
      <t>deaktiviert</t>
    </r>
    <r>
      <rPr>
        <rFont val="&quot;Halyard Text&quot;, Helvetica, Arial, sans-serif"/>
        <sz val="14.0"/>
      </rPr>
      <t>" und die Nummer 1 für "aktiv".</t>
    </r>
  </si>
  <si>
    <r>
      <t xml:space="preserve">Sono consentiti soltanto i numeri 0 e 1
Il numero 0 significa </t>
    </r>
    <r>
      <rPr>
        <rFont val="&quot;Halyard Text&quot;, Helvetica, Arial, sans-serif"/>
        <color rgb="FF1155CC"/>
        <u/>
      </rPr>
      <t>'disattivato</t>
    </r>
    <r>
      <rPr>
        <rFont val="&quot;Halyard Text&quot;, Helvetica, Arial, sans-serif"/>
      </rPr>
      <t>', il numero 1 'attivato'</t>
    </r>
  </si>
  <si>
    <r>
      <t>Solo se aceptan los números 0 y 1.
El número 0 significa "</t>
    </r>
    <r>
      <rPr>
        <rFont val="&quot;Halyard Text&quot;, Helvetica, Arial, sans-serif"/>
        <color rgb="FF1155CC"/>
        <u/>
      </rPr>
      <t>desactivado</t>
    </r>
    <r>
      <rPr>
        <rFont val="&quot;Halyard Text&quot;, Helvetica, Arial, sans-serif"/>
      </rPr>
      <t>" y el número 1 significa "activo".</t>
    </r>
  </si>
  <si>
    <t>Needs to be the exact name of an active user in the account</t>
  </si>
  <si>
    <t>Moet de exacte naam zijn van een actieve gebruiker in de account</t>
  </si>
  <si>
    <t>Doit être le nom exact d'un utilisateur actif dans le compte</t>
  </si>
  <si>
    <t>Accountverwalter</t>
  </si>
  <si>
    <t>Muss exakt der Name eines aktiven Benutzers im Account sein</t>
  </si>
  <si>
    <t>Responsabile account</t>
  </si>
  <si>
    <t>Deve essere il nome esatto di un utente attivo dell’account</t>
  </si>
  <si>
    <t>Administrador de la cuenta</t>
  </si>
  <si>
    <t>- Debe ser el nombre exacto de un usuario activo en la cuenta, puedes encontrar el nombre exacto en Parametrización &gt; RRHH &gt; Usuarios.</t>
  </si>
  <si>
    <t>You can use the text abbreviations or the numbers listed below:
vat_liable: Belgian VAT liability (1)
intra_community_eu: Intra-Community VAT liability (4)
outside_eu: VAT liability outside the EU (6)
contractor: Contracting partner (30)
private_person: Private person (7)
exempted_from_vat: Not liable for VAT (10)</t>
  </si>
  <si>
    <t>Btw-plichtigheid</t>
  </si>
  <si>
    <t>Je kan de tekstuele afkortingen of de nummers hieronder gebruiken:
vat_liable: Belgische btw-plichtigheid (1)
intra_community_eu: Intracommunitaire btw-plichtigheid (4)
outside_eu: btw-plichtigheid buiten de EU (6)
contractor: medecontractant (30)
private_person: particulier (7)
exempted_from_vat: niet btw-plichtig (10)</t>
  </si>
  <si>
    <t>Assujettissement TVA</t>
  </si>
  <si>
    <t>Vous pouvez utiliser les abréviations de texte ou les numéros indiqués ci-dessous:
vat_liable : Assujettissement à la TVA belge (1)
intra_community_eu : Assujettissement à la TVA intracommunautaire (4)
outside_eu : Assujettissement à la TVA hors UE (6)
contractor : co-contractant (30)
private_person : particulier (7)
exempted_from_vat: Non assujetti à la TVA (10)</t>
  </si>
  <si>
    <t>USt-Schuldnerschaft</t>
  </si>
  <si>
    <t>Sie können die Textabkürzungen oder die unten aufgeführten Zahlen verwenden:
vat_liable: Belgische USt-Schuldnerschaft (1)
intra_community_eu: Innergemeinschaftliche USt-Schuldnerschaft (4)
outside_eu: USt-Schuldnerschaft außerhalb der EU (6)
contractor: Vertragspartner (30)
private_person: Privatperson (7)
exempted_from_vat: Nicht USt-pflichtig (10)</t>
  </si>
  <si>
    <t>Obbligo IVA</t>
  </si>
  <si>
    <t>È possibile utilizzare le abbreviazioni di testo o i numeri elencati di seguito:
vat_liable: obbligo IVA Belgio (1)
intra_community_eu: obbligo IVA intra-comunitaria (4)
outside_eu: obbligo IVA al di fuori dell’Unione Europea (6)
contractor: partner appaltatore (30)
private_person: soggetto privato (7)
exempted_from_vat: non soggetto a IVA (10)</t>
  </si>
  <si>
    <t>Obligaciones de IVA</t>
  </si>
  <si>
    <t>Puedes utilizar las abreviaturas de texto o los números que se indican a continuación:
vat_liable: Obligaciones de IVA en Bélgica (1)
intra_community_eu: Obligaciones de IVA intracomunitarias (4)
outside_eu: Obligaciones de IVA fuera de la UE (6)
contractor: Socio contratista (30)
private_person: Persona privada (7)
exempted_from_vat: Sin obligaciones de IVA (10)</t>
  </si>
  <si>
    <r>
      <t xml:space="preserve">Sectors can only be entered for companies by using the triple letter codes that are used by Trends. </t>
    </r>
    <r>
      <rPr>
        <rFont val="&quot;Halyard Text&quot;, Helvetica, Arial, sans-serif"/>
        <color rgb="FF1155CC"/>
        <u/>
      </rPr>
      <t>You can find the sector list attached at the bottom of this article.</t>
    </r>
  </si>
  <si>
    <r>
      <t xml:space="preserve">De sector van een bedrijf kan alleen worden ingegeven met de drielettercode gebruikt door Trends. </t>
    </r>
    <r>
      <rPr>
        <rFont val="&quot;Halyard Text&quot;, Helvetica, Arial, sans-serif"/>
        <color rgb="FF1155CC"/>
        <u/>
      </rPr>
      <t>Je kan de sectorlijst als bijlage vinden op het einde van dit artikel.</t>
    </r>
  </si>
  <si>
    <t>Les secteurs peuvent uniquement être saisis pour les entreprises à l'aide des codes à trois lettres utilisés par Trends. Vous pouvez trouver la liste des secteurs en pièce jointe à la fin de cet article.</t>
  </si>
  <si>
    <r>
      <t xml:space="preserve">Sektoren können nur für Firmen eingegeben werden, wenn dreibuchstabige Codes verwendet werden, die auch Trends benutzt. </t>
    </r>
    <r>
      <rPr>
        <rFont val="&quot;Halyard Text&quot;, Helvetica, Arial, sans-serif"/>
        <color rgb="FF1155CC"/>
        <u/>
      </rPr>
      <t>Die Liste der Sektoren finden Sie am Ende dieses Artikels.</t>
    </r>
  </si>
  <si>
    <t>I settori possono essere indicati soltanto per le società tramite i codici a tre lettere utilizzati da Trends Top. In allegato di questo articolo puoi trovare la lista di settori ed i loro codici.</t>
  </si>
  <si>
    <t>- Debes utilizar el listado de sectores que te facilita Teamleader Focus, con su código de 3 letras (lo encontrarás en archivo adjunto al final de este artículo).
Truco: Si no quieres utilizar estos sectores puedes crear un campo personalizado propio de tipo 'Selección individual o múltiple' y añadir tus propias opciones.</t>
  </si>
  <si>
    <t>Related contacts</t>
  </si>
  <si>
    <t>Only one related contact per column is accepted
Maximum number of columns for related contacts is 3
The function of the contacts has to be in a separate column</t>
  </si>
  <si>
    <t>Gerelateerde contacten</t>
  </si>
  <si>
    <t>Er is maar één gerelateerd contact per kolom toegestaan.
Er mogen maximaal 3 kolommen zijn voor gerelateerde contacten.
De functie van de contacten moet in een afzonderlijke kolom staan.</t>
  </si>
  <si>
    <t>Contacts associés</t>
  </si>
  <si>
    <t>Seul un contact par colonne est accepté
Le nombre maximal de colonnes pour les contacts est de 3
La fonction des contacts doit être dans une colonne séparée</t>
  </si>
  <si>
    <t>Verwandte Kontakte</t>
  </si>
  <si>
    <t>Nur ein verbundener Kontakt pro Spalte ist erlaubt
Die maximale Anzahl Spalten für verwandte Kontakte ist 3
Die Position der Kontakte muss in einer gesonderten Spalte stehen</t>
  </si>
  <si>
    <t>Contatti collegati</t>
  </si>
  <si>
    <t>È consentito soltanto un contatto collegato per colonna
Il numero massimo di colonne per i contatti collegati è pari a 3
La mansione dei contatti deve essere in una colonna separata</t>
  </si>
  <si>
    <t>Contactos relacionados</t>
  </si>
  <si>
    <t>- Solo se acepta un contacto relacionado por columna.
- El número máximo de columnas para contactos relacionados es 3. Si tienes más de 3 contactos relacionados para una misma empresa, debes realizar la importación desde Contactos, y no desde Empresas.
- La función de los contactos tiene que estar en una columna separada.</t>
  </si>
  <si>
    <t>Function of related contact</t>
  </si>
  <si>
    <t>Only one function per column is accepted</t>
  </si>
  <si>
    <t>Functie van gerelateerd contact</t>
  </si>
  <si>
    <t>Er is maar één functie per kolom toegestaan.</t>
  </si>
  <si>
    <t>Fonction du contact associé</t>
  </si>
  <si>
    <t>Seule une fonction par colonne est acceptée</t>
  </si>
  <si>
    <t>Funktion des verwandten Kontakts</t>
  </si>
  <si>
    <t>Nur eine Funktion pro Spalte ist erlaubt</t>
  </si>
  <si>
    <t>Mansione del contatto collegato</t>
  </si>
  <si>
    <t>È consentita soltanto una mansione per colonna</t>
  </si>
  <si>
    <t>Función del contacto relacionado</t>
  </si>
  <si>
    <t>- Solo se acepta una función por columna.</t>
  </si>
  <si>
    <t>nl</t>
  </si>
  <si>
    <t>De</t>
  </si>
  <si>
    <t>Teamleader ID</t>
  </si>
  <si>
    <t>Company fields</t>
  </si>
  <si>
    <t>Fields for related companies</t>
  </si>
  <si>
    <t>Fields for related contacts</t>
  </si>
  <si>
    <t>Invoicing preferences</t>
  </si>
</sst>
</file>

<file path=xl/styles.xml><?xml version="1.0" encoding="utf-8"?>
<styleSheet xmlns="http://schemas.openxmlformats.org/spreadsheetml/2006/main" xmlns:x14ac="http://schemas.microsoft.com/office/spreadsheetml/2009/9/ac" xmlns:mc="http://schemas.openxmlformats.org/markup-compatibility/2006">
  <fonts count="10">
    <font>
      <sz val="10.0"/>
      <color rgb="FF000000"/>
      <name val="Arial"/>
      <scheme val="minor"/>
    </font>
    <font>
      <color theme="1"/>
      <name val="Arial"/>
      <scheme val="minor"/>
    </font>
    <font>
      <u/>
      <color rgb="FF0000FF"/>
    </font>
    <font>
      <b/>
      <color rgb="FF000000"/>
      <name val="&quot;Halyard Text&quot;"/>
    </font>
    <font>
      <color rgb="FF000000"/>
      <name val="&quot;Halyard Text&quot;"/>
    </font>
    <font>
      <u/>
      <color rgb="FF0000FF"/>
      <name val="&quot;Halyard Text&quot;"/>
    </font>
    <font>
      <u/>
      <color rgb="FF0000FF"/>
      <name val="&quot;Halyard Text&quot;"/>
    </font>
    <font>
      <u/>
      <sz val="14.0"/>
      <color rgb="FF0000FF"/>
      <name val="&quot;Halyard Text&quot;"/>
    </font>
    <font>
      <color theme="1"/>
      <name val="Arial"/>
    </font>
    <font>
      <b/>
      <color theme="1"/>
      <name val="Arial"/>
    </font>
  </fonts>
  <fills count="6">
    <fill>
      <patternFill patternType="none"/>
    </fill>
    <fill>
      <patternFill patternType="lightGray"/>
    </fill>
    <fill>
      <patternFill patternType="solid">
        <fgColor rgb="FFF9CB9C"/>
        <bgColor rgb="FFF9CB9C"/>
      </patternFill>
    </fill>
    <fill>
      <patternFill patternType="solid">
        <fgColor rgb="FFD9EAD3"/>
        <bgColor rgb="FFD9EAD3"/>
      </patternFill>
    </fill>
    <fill>
      <patternFill patternType="solid">
        <fgColor rgb="FFFFF2CC"/>
        <bgColor rgb="FFFFF2CC"/>
      </patternFill>
    </fill>
    <fill>
      <patternFill patternType="solid">
        <fgColor rgb="FFFFFFFF"/>
        <bgColor rgb="FFFFFFFF"/>
      </patternFill>
    </fill>
  </fills>
  <borders count="2">
    <border/>
    <border>
      <left style="thin">
        <color rgb="FFAFAFAF"/>
      </left>
      <right style="thin">
        <color rgb="FFAFAFAF"/>
      </right>
      <top style="thin">
        <color rgb="FFAFAFAF"/>
      </top>
      <bottom style="thin">
        <color rgb="FFAFAFAF"/>
      </bottom>
    </border>
  </borders>
  <cellStyleXfs count="1">
    <xf borderId="0" fillId="0" fontId="0" numFmtId="0" applyAlignment="1" applyFont="1"/>
  </cellStyleXfs>
  <cellXfs count="15">
    <xf borderId="0" fillId="0" fontId="0" numFmtId="0" xfId="0" applyAlignment="1" applyFont="1">
      <alignment readingOrder="0" shrinkToFit="0" vertical="bottom" wrapText="0"/>
    </xf>
    <xf borderId="0" fillId="0" fontId="1" numFmtId="0" xfId="0" applyFont="1"/>
    <xf borderId="0" fillId="0" fontId="1" numFmtId="0" xfId="0" applyAlignment="1" applyFont="1">
      <alignment readingOrder="0"/>
    </xf>
    <xf borderId="0" fillId="0" fontId="2" numFmtId="0" xfId="0" applyAlignment="1" applyFont="1">
      <alignment readingOrder="0"/>
    </xf>
    <xf borderId="0" fillId="0" fontId="3" numFmtId="0" xfId="0" applyAlignment="1" applyFont="1">
      <alignment readingOrder="0"/>
    </xf>
    <xf borderId="1" fillId="0" fontId="4" numFmtId="0" xfId="0" applyAlignment="1" applyBorder="1" applyFont="1">
      <alignment readingOrder="0"/>
    </xf>
    <xf borderId="1" fillId="0" fontId="5" numFmtId="0" xfId="0" applyAlignment="1" applyBorder="1" applyFont="1">
      <alignment readingOrder="0"/>
    </xf>
    <xf borderId="0" fillId="0" fontId="6" numFmtId="0" xfId="0" applyAlignment="1" applyFont="1">
      <alignment readingOrder="0"/>
    </xf>
    <xf borderId="0" fillId="0" fontId="7" numFmtId="0" xfId="0" applyAlignment="1" applyFont="1">
      <alignment readingOrder="0" shrinkToFit="0" wrapText="1"/>
    </xf>
    <xf borderId="0" fillId="0" fontId="8" numFmtId="0" xfId="0" applyAlignment="1" applyFont="1">
      <alignment vertical="bottom"/>
    </xf>
    <xf borderId="0" fillId="2" fontId="8" numFmtId="0" xfId="0" applyAlignment="1" applyFill="1" applyFont="1">
      <alignment vertical="bottom"/>
    </xf>
    <xf borderId="0" fillId="0" fontId="9" numFmtId="0" xfId="0" applyAlignment="1" applyFont="1">
      <alignment vertical="bottom"/>
    </xf>
    <xf borderId="0" fillId="3" fontId="8" numFmtId="0" xfId="0" applyAlignment="1" applyFill="1" applyFont="1">
      <alignment vertical="bottom"/>
    </xf>
    <xf borderId="0" fillId="4" fontId="8" numFmtId="0" xfId="0" applyAlignment="1" applyFill="1" applyFont="1">
      <alignment vertical="bottom"/>
    </xf>
    <xf borderId="0" fillId="5" fontId="8" numFmtId="0" xfId="0" applyAlignment="1" applyFill="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www.acme.com" TargetMode="External"/><Relationship Id="rId3" Type="http://schemas.openxmlformats.org/officeDocument/2006/relationships/hyperlink" Target="http://www.beta.com" TargetMode="External"/><Relationship Id="rId4" Type="http://schemas.openxmlformats.org/officeDocument/2006/relationships/hyperlink" Target="http://www.stark.com" TargetMode="External"/><Relationship Id="rId5" Type="http://schemas.openxmlformats.org/officeDocument/2006/relationships/hyperlink" Target="http://www.wayne.com" TargetMode="External"/><Relationship Id="rId6" Type="http://schemas.openxmlformats.org/officeDocument/2006/relationships/drawing" Target="../drawings/drawing1.xml"/><Relationship Id="rId7"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hyperlink" Target="http://www.tulip.nl" TargetMode="External"/><Relationship Id="rId3" Type="http://schemas.openxmlformats.org/officeDocument/2006/relationships/hyperlink" Target="http://www.roos.nl" TargetMode="External"/><Relationship Id="rId4" Type="http://schemas.openxmlformats.org/officeDocument/2006/relationships/hyperlink" Target="http://www.wafel.be" TargetMode="External"/><Relationship Id="rId5" Type="http://schemas.openxmlformats.org/officeDocument/2006/relationships/hyperlink" Target="http://www.choco.be" TargetMode="External"/><Relationship Id="rId6" Type="http://schemas.openxmlformats.org/officeDocument/2006/relationships/drawing" Target="../drawings/drawing2.xml"/><Relationship Id="rId7"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hyperlink" Target="http://www.baguette.fr" TargetMode="External"/><Relationship Id="rId3" Type="http://schemas.openxmlformats.org/officeDocument/2006/relationships/hyperlink" Target="http://www.croissant.fr" TargetMode="External"/><Relationship Id="rId4" Type="http://schemas.openxmlformats.org/officeDocument/2006/relationships/hyperlink" Target="http://www.fromage.fr" TargetMode="External"/><Relationship Id="rId5" Type="http://schemas.openxmlformats.org/officeDocument/2006/relationships/hyperlink" Target="http://www.vin.fr" TargetMode="External"/><Relationship Id="rId6" Type="http://schemas.openxmlformats.org/officeDocument/2006/relationships/drawing" Target="../drawings/drawing3.xml"/><Relationship Id="rId7"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hyperlink" Target="http://www.bratwurst.de" TargetMode="External"/><Relationship Id="rId3" Type="http://schemas.openxmlformats.org/officeDocument/2006/relationships/hyperlink" Target="http://www.bier.de" TargetMode="External"/><Relationship Id="rId4" Type="http://schemas.openxmlformats.org/officeDocument/2006/relationships/hyperlink" Target="http://www.auto.de" TargetMode="External"/><Relationship Id="rId5" Type="http://schemas.openxmlformats.org/officeDocument/2006/relationships/hyperlink" Target="http://www.motor.de" TargetMode="External"/><Relationship Id="rId6" Type="http://schemas.openxmlformats.org/officeDocument/2006/relationships/drawing" Target="../drawings/drawing4.xml"/><Relationship Id="rId7"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hyperlink" Target="http://www.paella.es" TargetMode="External"/><Relationship Id="rId3" Type="http://schemas.openxmlformats.org/officeDocument/2006/relationships/hyperlink" Target="http://www.tapas.es" TargetMode="External"/><Relationship Id="rId4" Type="http://schemas.openxmlformats.org/officeDocument/2006/relationships/hyperlink" Target="http://www.sol.es" TargetMode="External"/><Relationship Id="rId5" Type="http://schemas.openxmlformats.org/officeDocument/2006/relationships/hyperlink" Target="http://www.luna.es" TargetMode="External"/><Relationship Id="rId6" Type="http://schemas.openxmlformats.org/officeDocument/2006/relationships/drawing" Target="../drawings/drawing5.xml"/><Relationship Id="rId7"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1" Type="http://schemas.openxmlformats.org/officeDocument/2006/relationships/comments" Target="../comments6.xml"/><Relationship Id="rId2" Type="http://schemas.openxmlformats.org/officeDocument/2006/relationships/hyperlink" Target="http://www.pizza.it" TargetMode="External"/><Relationship Id="rId3" Type="http://schemas.openxmlformats.org/officeDocument/2006/relationships/hyperlink" Target="http://www.pasta.it" TargetMode="External"/><Relationship Id="rId4" Type="http://schemas.openxmlformats.org/officeDocument/2006/relationships/hyperlink" Target="http://www.moda.it" TargetMode="External"/><Relationship Id="rId5" Type="http://schemas.openxmlformats.org/officeDocument/2006/relationships/hyperlink" Target="http://www.scarpe.it" TargetMode="External"/><Relationship Id="rId6" Type="http://schemas.openxmlformats.org/officeDocument/2006/relationships/drawing" Target="../drawings/drawing6.xml"/><Relationship Id="rId7"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0" Type="http://schemas.openxmlformats.org/officeDocument/2006/relationships/hyperlink" Target="https://support.focus.teamleader.eu/hc/it/articles/25691448283537-How-to-Come-posso-modificare-o-aggiungere-i-termini-di-pagamento-delle-mie-fatture" TargetMode="External"/><Relationship Id="rId22" Type="http://schemas.openxmlformats.org/officeDocument/2006/relationships/hyperlink" Target="https://support.focus.teamleader.eu/hc/en-150/articles/25697830754065-How-To-Deactivating-customers-in-Teamleader-Focus" TargetMode="External"/><Relationship Id="rId21" Type="http://schemas.openxmlformats.org/officeDocument/2006/relationships/hyperlink" Target="https://support.focus.teamleader.eu/hc/es/articles/25691448283537-C%C3%B3mo-Cambiar-o-a%C3%B1adir-condiciones-de-pago-de-mis-facturas" TargetMode="External"/><Relationship Id="rId24" Type="http://schemas.openxmlformats.org/officeDocument/2006/relationships/hyperlink" Target="https://support.focus.teamleader.eu/hc/fr/articles/25697830754065-Mode-d-emploi-D%C3%A9sactiver-des-clients-dans-Teamleader-Focus" TargetMode="External"/><Relationship Id="rId23" Type="http://schemas.openxmlformats.org/officeDocument/2006/relationships/hyperlink" Target="https://support.focus.teamleader.eu/hc/nl/articles/25697830754065-How-To-Klanten-deactiveren-in-Teamleader-Focus" TargetMode="External"/><Relationship Id="rId1" Type="http://schemas.openxmlformats.org/officeDocument/2006/relationships/hyperlink" Target="http://www/" TargetMode="External"/><Relationship Id="rId2" Type="http://schemas.openxmlformats.org/officeDocument/2006/relationships/hyperlink" Target="http://www/" TargetMode="External"/><Relationship Id="rId3" Type="http://schemas.openxmlformats.org/officeDocument/2006/relationships/hyperlink" Target="http://www/" TargetMode="External"/><Relationship Id="rId4" Type="http://schemas.openxmlformats.org/officeDocument/2006/relationships/hyperlink" Target="https://nl.wikipedia.org/wiki/ISO_3166-1" TargetMode="External"/><Relationship Id="rId9" Type="http://schemas.openxmlformats.org/officeDocument/2006/relationships/hyperlink" Target="https://nl.wikipedia.org/wiki/ISO_3166-1" TargetMode="External"/><Relationship Id="rId26" Type="http://schemas.openxmlformats.org/officeDocument/2006/relationships/hyperlink" Target="https://support.focus.teamleader.eu/hc/it/articles/25697830754065-How-to-Disattivare-i-clienti-in-Teamleader-Focus" TargetMode="External"/><Relationship Id="rId25" Type="http://schemas.openxmlformats.org/officeDocument/2006/relationships/hyperlink" Target="https://support.focus.teamleader.eu/hc/de/articles/25697830754065-How-To-Kunden-deaktivieren-in-Teamleader-Focus" TargetMode="External"/><Relationship Id="rId28" Type="http://schemas.openxmlformats.org/officeDocument/2006/relationships/hyperlink" Target="https://support.focus.teamleader.eu/hc/en-150/article_attachments/40034104552593" TargetMode="External"/><Relationship Id="rId27" Type="http://schemas.openxmlformats.org/officeDocument/2006/relationships/hyperlink" Target="https://support.focus.teamleader.eu/hc/es/articles/25697830754065-C%C3%B3mo-Desactivar-clientes-en-Teamleader-Focus" TargetMode="External"/><Relationship Id="rId5" Type="http://schemas.openxmlformats.org/officeDocument/2006/relationships/hyperlink" Target="https://nl.wikipedia.org/wiki/ISO_3166-1" TargetMode="External"/><Relationship Id="rId6" Type="http://schemas.openxmlformats.org/officeDocument/2006/relationships/hyperlink" Target="https://nl.wikipedia.org/wiki/ISO_3166-1" TargetMode="External"/><Relationship Id="rId29" Type="http://schemas.openxmlformats.org/officeDocument/2006/relationships/hyperlink" Target="https://support.focus.teamleader.eu/hc/en-150/article_attachments/40034104552593" TargetMode="External"/><Relationship Id="rId7" Type="http://schemas.openxmlformats.org/officeDocument/2006/relationships/hyperlink" Target="https://nl.wikipedia.org/wiki/ISO_3166-1" TargetMode="External"/><Relationship Id="rId8" Type="http://schemas.openxmlformats.org/officeDocument/2006/relationships/hyperlink" Target="https://it.wikipedia.org/wiki/ISO_3166-1" TargetMode="External"/><Relationship Id="rId31" Type="http://schemas.openxmlformats.org/officeDocument/2006/relationships/drawing" Target="../drawings/drawing7.xml"/><Relationship Id="rId30" Type="http://schemas.openxmlformats.org/officeDocument/2006/relationships/hyperlink" Target="https://support.focus.teamleader.eu/hc/en-150/article_attachments/40034104552593" TargetMode="External"/><Relationship Id="rId11" Type="http://schemas.openxmlformats.org/officeDocument/2006/relationships/hyperlink" Target="https://nl.wikipedia.org/wiki/ISO_3166-1" TargetMode="External"/><Relationship Id="rId10" Type="http://schemas.openxmlformats.org/officeDocument/2006/relationships/hyperlink" Target="https://nl.wikipedia.org/wiki/ISO_3166-1" TargetMode="External"/><Relationship Id="rId13" Type="http://schemas.openxmlformats.org/officeDocument/2006/relationships/hyperlink" Target="https://nl.wikipedia.org/wiki/ISO_3166-1" TargetMode="External"/><Relationship Id="rId12" Type="http://schemas.openxmlformats.org/officeDocument/2006/relationships/hyperlink" Target="https://nl.wikipedia.org/wiki/ISO_3166-1" TargetMode="External"/><Relationship Id="rId15" Type="http://schemas.openxmlformats.org/officeDocument/2006/relationships/hyperlink" Target="https://nl.wikipedia.org/wiki/ISO_3166-1" TargetMode="External"/><Relationship Id="rId14" Type="http://schemas.openxmlformats.org/officeDocument/2006/relationships/hyperlink" Target="https://it.wikipedia.org/wiki/ISO_3166-1" TargetMode="External"/><Relationship Id="rId17" Type="http://schemas.openxmlformats.org/officeDocument/2006/relationships/hyperlink" Target="https://support.focus.teamleader.eu/hc/nl/articles/25691448283537-How-To-Hoe-kan-ik-betalingstermijnen-aanpassen-of-toevoegen" TargetMode="External"/><Relationship Id="rId16" Type="http://schemas.openxmlformats.org/officeDocument/2006/relationships/hyperlink" Target="https://support.focus.teamleader.eu/hc/en-150/articles/25691448283537-How-To-How-can-I-change-the-payment-terms-of-my-invoices" TargetMode="External"/><Relationship Id="rId19" Type="http://schemas.openxmlformats.org/officeDocument/2006/relationships/hyperlink" Target="https://support.focus.teamleader.eu/hc/de/articles/25691448283537-How-To-Wie-kann-ich-die-Zahlungsbedingungen-meiner-Rechnungen-%C3%A4ndern" TargetMode="External"/><Relationship Id="rId18" Type="http://schemas.openxmlformats.org/officeDocument/2006/relationships/hyperlink" Target="https://support.focus.teamleader.eu/hc/fr/articles/25691448283537-Mode-d-emploi-Comment-puis-je-modifier-les-conditions-de-paiement-de-mes-factures"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tr">
        <f t="array" ref="A1:CA1">TRANSPOSE('Field names'!B2:B80)</f>
        <v>Teamleader ID</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1" t="s">
        <v>54</v>
      </c>
      <c r="BE1" s="1" t="s">
        <v>55</v>
      </c>
      <c r="BF1" s="1" t="s">
        <v>56</v>
      </c>
      <c r="BG1" s="1" t="s">
        <v>57</v>
      </c>
      <c r="BH1" s="1" t="s">
        <v>58</v>
      </c>
      <c r="BI1" s="1" t="s">
        <v>59</v>
      </c>
      <c r="BJ1" s="1" t="s">
        <v>60</v>
      </c>
      <c r="BK1" s="1" t="s">
        <v>61</v>
      </c>
      <c r="BL1" s="1" t="s">
        <v>62</v>
      </c>
      <c r="BM1" s="1" t="s">
        <v>63</v>
      </c>
      <c r="BN1" s="1" t="s">
        <v>64</v>
      </c>
      <c r="BO1" s="1" t="s">
        <v>65</v>
      </c>
      <c r="BP1" s="1" t="s">
        <v>66</v>
      </c>
      <c r="BQ1" s="1" t="s">
        <v>67</v>
      </c>
      <c r="BR1" s="1" t="s">
        <v>68</v>
      </c>
      <c r="BS1" s="1" t="s">
        <v>69</v>
      </c>
      <c r="BT1" s="1" t="s">
        <v>70</v>
      </c>
      <c r="BU1" s="1" t="s">
        <v>71</v>
      </c>
      <c r="BV1" s="1" t="s">
        <v>72</v>
      </c>
      <c r="BW1" s="1" t="s">
        <v>73</v>
      </c>
      <c r="BX1" s="1" t="s">
        <v>74</v>
      </c>
      <c r="BY1" s="1" t="s">
        <v>75</v>
      </c>
      <c r="BZ1" s="1" t="s">
        <v>76</v>
      </c>
      <c r="CA1" s="1" t="s">
        <v>77</v>
      </c>
    </row>
    <row r="2">
      <c r="A2" s="2" t="s">
        <v>78</v>
      </c>
      <c r="B2" s="2" t="s">
        <v>79</v>
      </c>
      <c r="C2" s="2" t="s">
        <v>80</v>
      </c>
      <c r="D2" s="2">
        <v>100.0</v>
      </c>
      <c r="E2" s="2">
        <v>10001.0</v>
      </c>
      <c r="F2" s="2" t="s">
        <v>81</v>
      </c>
      <c r="G2" s="2" t="s">
        <v>82</v>
      </c>
      <c r="H2" s="2" t="s">
        <v>83</v>
      </c>
      <c r="I2" s="2" t="s">
        <v>84</v>
      </c>
      <c r="J2" s="2" t="s">
        <v>85</v>
      </c>
      <c r="K2" s="2" t="s">
        <v>86</v>
      </c>
      <c r="L2" s="2" t="s">
        <v>87</v>
      </c>
      <c r="M2" s="3" t="s">
        <v>88</v>
      </c>
      <c r="N2" s="2" t="s">
        <v>89</v>
      </c>
      <c r="O2" s="1">
        <v>-654</v>
      </c>
      <c r="P2" s="1">
        <v>-655</v>
      </c>
      <c r="Q2" s="2" t="s">
        <v>90</v>
      </c>
      <c r="R2" s="2" t="s">
        <v>91</v>
      </c>
      <c r="S2" s="2" t="s">
        <v>92</v>
      </c>
      <c r="T2" s="2" t="s">
        <v>93</v>
      </c>
      <c r="U2" s="2" t="s">
        <v>94</v>
      </c>
      <c r="V2" s="2" t="s">
        <v>95</v>
      </c>
      <c r="W2" s="2" t="s">
        <v>96</v>
      </c>
      <c r="X2" s="2" t="s">
        <v>97</v>
      </c>
      <c r="Y2" s="2" t="s">
        <v>98</v>
      </c>
      <c r="Z2" s="2" t="s">
        <v>99</v>
      </c>
      <c r="AA2" s="2" t="s">
        <v>92</v>
      </c>
      <c r="AB2" s="2" t="s">
        <v>100</v>
      </c>
      <c r="AC2" s="2" t="s">
        <v>101</v>
      </c>
      <c r="AD2" s="2" t="s">
        <v>102</v>
      </c>
      <c r="AE2" s="2" t="s">
        <v>103</v>
      </c>
      <c r="AF2" s="2" t="s">
        <v>92</v>
      </c>
      <c r="AG2" s="2" t="s">
        <v>79</v>
      </c>
      <c r="AH2" s="2" t="s">
        <v>80</v>
      </c>
      <c r="AI2" s="2">
        <v>100.0</v>
      </c>
      <c r="AJ2" s="2" t="s">
        <v>96</v>
      </c>
      <c r="AK2" s="2">
        <v>10001.0</v>
      </c>
      <c r="AL2" s="2" t="s">
        <v>81</v>
      </c>
      <c r="AM2" s="2" t="s">
        <v>82</v>
      </c>
      <c r="AN2" s="2" t="s">
        <v>97</v>
      </c>
      <c r="AO2" s="2" t="s">
        <v>79</v>
      </c>
      <c r="AP2" s="2" t="s">
        <v>80</v>
      </c>
      <c r="AQ2" s="2">
        <v>100.0</v>
      </c>
      <c r="AR2" s="2" t="s">
        <v>96</v>
      </c>
      <c r="AS2" s="2">
        <v>10001.0</v>
      </c>
      <c r="AT2" s="2" t="s">
        <v>81</v>
      </c>
      <c r="AU2" s="2" t="s">
        <v>82</v>
      </c>
      <c r="AV2" s="2" t="s">
        <v>97</v>
      </c>
      <c r="AW2" s="2" t="s">
        <v>79</v>
      </c>
      <c r="AX2" s="2" t="s">
        <v>80</v>
      </c>
      <c r="AY2" s="2">
        <v>100.0</v>
      </c>
      <c r="AZ2" s="2" t="s">
        <v>96</v>
      </c>
      <c r="BA2" s="2">
        <v>10001.0</v>
      </c>
      <c r="BB2" s="2" t="s">
        <v>81</v>
      </c>
      <c r="BC2" s="2" t="s">
        <v>82</v>
      </c>
      <c r="BD2" s="2" t="s">
        <v>97</v>
      </c>
      <c r="BE2" s="2" t="s">
        <v>104</v>
      </c>
      <c r="BF2" s="2" t="s">
        <v>105</v>
      </c>
      <c r="BG2" s="1">
        <v>-754</v>
      </c>
      <c r="BI2" s="2" t="s">
        <v>106</v>
      </c>
      <c r="BJ2" s="3" t="s">
        <v>107</v>
      </c>
      <c r="BK2" s="2" t="s">
        <v>108</v>
      </c>
      <c r="BL2" s="2" t="s">
        <v>109</v>
      </c>
      <c r="BM2" s="2" t="s">
        <v>110</v>
      </c>
      <c r="BN2" s="2">
        <v>10002.0</v>
      </c>
      <c r="BO2" s="2" t="s">
        <v>81</v>
      </c>
      <c r="BP2" s="2" t="s">
        <v>111</v>
      </c>
      <c r="BQ2" s="2" t="s">
        <v>91</v>
      </c>
      <c r="BR2" s="2" t="s">
        <v>112</v>
      </c>
      <c r="BS2" s="2" t="s">
        <v>113</v>
      </c>
      <c r="BT2" s="2" t="s">
        <v>114</v>
      </c>
      <c r="BV2" s="2" t="s">
        <v>115</v>
      </c>
      <c r="BW2" s="1">
        <v>-656</v>
      </c>
      <c r="BX2" s="1">
        <v>-657</v>
      </c>
      <c r="BZ2" s="2" t="s">
        <v>116</v>
      </c>
      <c r="CA2" s="2">
        <v>150.0</v>
      </c>
    </row>
    <row r="3">
      <c r="A3" s="2" t="s">
        <v>117</v>
      </c>
      <c r="B3" s="2" t="s">
        <v>118</v>
      </c>
      <c r="C3" s="2" t="s">
        <v>119</v>
      </c>
      <c r="D3" s="2">
        <v>200.0</v>
      </c>
      <c r="E3" s="2" t="s">
        <v>120</v>
      </c>
      <c r="F3" s="2" t="s">
        <v>121</v>
      </c>
      <c r="G3" s="2" t="s">
        <v>122</v>
      </c>
      <c r="H3" s="2" t="s">
        <v>83</v>
      </c>
      <c r="I3" s="2" t="s">
        <v>123</v>
      </c>
      <c r="J3" s="2" t="s">
        <v>124</v>
      </c>
      <c r="K3" s="2" t="s">
        <v>125</v>
      </c>
      <c r="L3" s="2" t="s">
        <v>126</v>
      </c>
      <c r="M3" s="3" t="s">
        <v>127</v>
      </c>
      <c r="N3" s="2" t="s">
        <v>128</v>
      </c>
      <c r="O3" s="1">
        <v>-8022</v>
      </c>
      <c r="P3" s="1">
        <v>-8023</v>
      </c>
      <c r="Q3" s="2" t="s">
        <v>129</v>
      </c>
      <c r="R3" s="2" t="s">
        <v>130</v>
      </c>
      <c r="S3" s="2" t="s">
        <v>92</v>
      </c>
      <c r="T3" s="2" t="s">
        <v>131</v>
      </c>
      <c r="U3" s="2" t="s">
        <v>132</v>
      </c>
      <c r="V3" s="2" t="s">
        <v>133</v>
      </c>
      <c r="W3" s="2" t="s">
        <v>134</v>
      </c>
      <c r="X3" s="2" t="s">
        <v>135</v>
      </c>
      <c r="Y3" s="2" t="s">
        <v>98</v>
      </c>
      <c r="Z3" s="2" t="s">
        <v>136</v>
      </c>
      <c r="AA3" s="2" t="s">
        <v>92</v>
      </c>
      <c r="AB3" s="2" t="s">
        <v>137</v>
      </c>
      <c r="AC3" s="2" t="s">
        <v>138</v>
      </c>
      <c r="AD3" s="2" t="s">
        <v>139</v>
      </c>
      <c r="AE3" s="2" t="s">
        <v>140</v>
      </c>
      <c r="AF3" s="2" t="s">
        <v>141</v>
      </c>
      <c r="AG3" s="2" t="s">
        <v>118</v>
      </c>
      <c r="AH3" s="2" t="s">
        <v>119</v>
      </c>
      <c r="AI3" s="2">
        <v>200.0</v>
      </c>
      <c r="AJ3" s="2" t="s">
        <v>134</v>
      </c>
      <c r="AK3" s="2" t="s">
        <v>120</v>
      </c>
      <c r="AL3" s="2" t="s">
        <v>121</v>
      </c>
      <c r="AM3" s="2" t="s">
        <v>122</v>
      </c>
      <c r="AN3" s="2" t="s">
        <v>135</v>
      </c>
      <c r="AO3" s="2" t="s">
        <v>118</v>
      </c>
      <c r="AP3" s="2" t="s">
        <v>119</v>
      </c>
      <c r="AQ3" s="2">
        <v>200.0</v>
      </c>
      <c r="AR3" s="2" t="s">
        <v>134</v>
      </c>
      <c r="AS3" s="2" t="s">
        <v>120</v>
      </c>
      <c r="AT3" s="2" t="s">
        <v>121</v>
      </c>
      <c r="AU3" s="2" t="s">
        <v>122</v>
      </c>
      <c r="AV3" s="2" t="s">
        <v>135</v>
      </c>
      <c r="AW3" s="2" t="s">
        <v>118</v>
      </c>
      <c r="AX3" s="2" t="s">
        <v>119</v>
      </c>
      <c r="AY3" s="2">
        <v>200.0</v>
      </c>
      <c r="AZ3" s="2" t="s">
        <v>134</v>
      </c>
      <c r="BA3" s="2" t="s">
        <v>120</v>
      </c>
      <c r="BB3" s="2" t="s">
        <v>121</v>
      </c>
      <c r="BC3" s="2" t="s">
        <v>122</v>
      </c>
      <c r="BD3" s="2" t="s">
        <v>135</v>
      </c>
      <c r="BE3" s="2" t="s">
        <v>142</v>
      </c>
      <c r="BF3" s="2" t="s">
        <v>143</v>
      </c>
      <c r="BG3" s="1">
        <v>-8122</v>
      </c>
      <c r="BI3" s="2" t="s">
        <v>144</v>
      </c>
      <c r="BJ3" s="3" t="s">
        <v>145</v>
      </c>
      <c r="BK3" s="2" t="s">
        <v>146</v>
      </c>
      <c r="BL3" s="2" t="s">
        <v>147</v>
      </c>
      <c r="BM3" s="2" t="s">
        <v>148</v>
      </c>
      <c r="BN3" s="2" t="s">
        <v>149</v>
      </c>
      <c r="BO3" s="2" t="s">
        <v>121</v>
      </c>
      <c r="BP3" s="2" t="s">
        <v>150</v>
      </c>
      <c r="BQ3" s="2" t="s">
        <v>130</v>
      </c>
      <c r="BR3" s="2" t="s">
        <v>151</v>
      </c>
      <c r="BS3" s="2" t="s">
        <v>152</v>
      </c>
      <c r="BT3" s="2" t="s">
        <v>153</v>
      </c>
      <c r="BV3" s="2" t="s">
        <v>90</v>
      </c>
      <c r="BW3" s="1">
        <v>-8024</v>
      </c>
      <c r="BX3" s="1">
        <v>-8025</v>
      </c>
      <c r="BZ3" s="2" t="s">
        <v>154</v>
      </c>
      <c r="CA3" s="2">
        <v>200.0</v>
      </c>
    </row>
  </sheetData>
  <hyperlinks>
    <hyperlink r:id="rId2" ref="M2"/>
    <hyperlink r:id="rId3" ref="BJ2"/>
    <hyperlink r:id="rId4" ref="M3"/>
    <hyperlink r:id="rId5" ref="BJ3"/>
  </hyperlinks>
  <drawing r:id="rId6"/>
  <legacyDrawing r:id="rId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tr">
        <f t="array" ref="A1:CA1">TRANSPOSE('Field names'!C2:C80)</f>
        <v>Teamleider-ID</v>
      </c>
      <c r="B1" s="1" t="s">
        <v>155</v>
      </c>
      <c r="C1" s="1" t="s">
        <v>156</v>
      </c>
      <c r="D1" s="1" t="s">
        <v>157</v>
      </c>
      <c r="E1" s="1" t="s">
        <v>158</v>
      </c>
      <c r="F1" s="1" t="s">
        <v>159</v>
      </c>
      <c r="G1" s="1" t="s">
        <v>160</v>
      </c>
      <c r="H1" s="1" t="s">
        <v>161</v>
      </c>
      <c r="I1" s="1" t="s">
        <v>162</v>
      </c>
      <c r="J1" s="1" t="s">
        <v>163</v>
      </c>
      <c r="K1" s="1" t="s">
        <v>164</v>
      </c>
      <c r="L1" s="1" t="s">
        <v>165</v>
      </c>
      <c r="M1" s="1" t="s">
        <v>11</v>
      </c>
      <c r="N1" s="1" t="s">
        <v>166</v>
      </c>
      <c r="O1" s="1" t="s">
        <v>167</v>
      </c>
      <c r="P1" s="1" t="s">
        <v>14</v>
      </c>
      <c r="Q1" s="1" t="s">
        <v>15</v>
      </c>
      <c r="R1" s="1" t="s">
        <v>168</v>
      </c>
      <c r="S1" s="1" t="s">
        <v>169</v>
      </c>
      <c r="T1" s="1" t="s">
        <v>18</v>
      </c>
      <c r="U1" s="1" t="s">
        <v>170</v>
      </c>
      <c r="V1" s="1" t="s">
        <v>171</v>
      </c>
      <c r="W1" s="1" t="s">
        <v>172</v>
      </c>
      <c r="X1" s="1" t="s">
        <v>173</v>
      </c>
      <c r="Y1" s="1" t="s">
        <v>174</v>
      </c>
      <c r="Z1" s="1" t="s">
        <v>175</v>
      </c>
      <c r="AA1" s="1" t="s">
        <v>176</v>
      </c>
      <c r="AB1" s="1" t="s">
        <v>177</v>
      </c>
      <c r="AC1" s="1" t="s">
        <v>178</v>
      </c>
      <c r="AD1" s="1" t="s">
        <v>179</v>
      </c>
      <c r="AE1" s="1" t="s">
        <v>29</v>
      </c>
      <c r="AF1" s="1" t="s">
        <v>180</v>
      </c>
      <c r="AG1" s="1" t="s">
        <v>181</v>
      </c>
      <c r="AH1" s="1" t="s">
        <v>182</v>
      </c>
      <c r="AI1" s="1" t="s">
        <v>183</v>
      </c>
      <c r="AJ1" s="1" t="s">
        <v>184</v>
      </c>
      <c r="AK1" s="1" t="s">
        <v>185</v>
      </c>
      <c r="AL1" s="1" t="s">
        <v>186</v>
      </c>
      <c r="AM1" s="1" t="s">
        <v>187</v>
      </c>
      <c r="AN1" s="1" t="s">
        <v>188</v>
      </c>
      <c r="AO1" s="1" t="s">
        <v>189</v>
      </c>
      <c r="AP1" s="1" t="s">
        <v>190</v>
      </c>
      <c r="AQ1" s="1" t="s">
        <v>191</v>
      </c>
      <c r="AR1" s="1" t="s">
        <v>192</v>
      </c>
      <c r="AS1" s="1" t="s">
        <v>193</v>
      </c>
      <c r="AT1" s="1" t="s">
        <v>194</v>
      </c>
      <c r="AU1" s="1" t="s">
        <v>195</v>
      </c>
      <c r="AV1" s="1" t="s">
        <v>196</v>
      </c>
      <c r="AW1" s="1" t="s">
        <v>197</v>
      </c>
      <c r="AX1" s="1" t="s">
        <v>198</v>
      </c>
      <c r="AY1" s="1" t="s">
        <v>199</v>
      </c>
      <c r="AZ1" s="1" t="s">
        <v>200</v>
      </c>
      <c r="BA1" s="1" t="s">
        <v>201</v>
      </c>
      <c r="BB1" s="1" t="s">
        <v>202</v>
      </c>
      <c r="BC1" s="1" t="s">
        <v>203</v>
      </c>
      <c r="BD1" s="1" t="s">
        <v>204</v>
      </c>
      <c r="BE1" s="1" t="s">
        <v>205</v>
      </c>
      <c r="BF1" s="1" t="s">
        <v>206</v>
      </c>
      <c r="BG1" s="1" t="s">
        <v>207</v>
      </c>
      <c r="BH1" s="1" t="s">
        <v>208</v>
      </c>
      <c r="BI1" s="1" t="s">
        <v>209</v>
      </c>
      <c r="BJ1" s="1" t="s">
        <v>210</v>
      </c>
      <c r="BK1" s="1" t="s">
        <v>211</v>
      </c>
      <c r="BL1" s="1" t="s">
        <v>212</v>
      </c>
      <c r="BM1" s="1" t="s">
        <v>213</v>
      </c>
      <c r="BN1" s="1" t="s">
        <v>214</v>
      </c>
      <c r="BO1" s="1" t="s">
        <v>215</v>
      </c>
      <c r="BP1" s="1" t="s">
        <v>216</v>
      </c>
      <c r="BQ1" s="1" t="s">
        <v>217</v>
      </c>
      <c r="BR1" s="1" t="s">
        <v>218</v>
      </c>
      <c r="BS1" s="1" t="s">
        <v>219</v>
      </c>
      <c r="BT1" s="1" t="s">
        <v>220</v>
      </c>
      <c r="BU1" s="1" t="s">
        <v>221</v>
      </c>
      <c r="BV1" s="1" t="s">
        <v>222</v>
      </c>
      <c r="BW1" s="1" t="s">
        <v>223</v>
      </c>
      <c r="BX1" s="1" t="s">
        <v>224</v>
      </c>
      <c r="BY1" s="1" t="s">
        <v>75</v>
      </c>
      <c r="BZ1" s="1" t="s">
        <v>225</v>
      </c>
      <c r="CA1" s="1" t="s">
        <v>226</v>
      </c>
    </row>
    <row r="2">
      <c r="A2" s="2" t="s">
        <v>227</v>
      </c>
      <c r="B2" s="2" t="s">
        <v>228</v>
      </c>
      <c r="C2" s="2" t="s">
        <v>229</v>
      </c>
      <c r="D2" s="2">
        <v>10.0</v>
      </c>
      <c r="E2" s="2" t="s">
        <v>230</v>
      </c>
      <c r="F2" s="2" t="s">
        <v>231</v>
      </c>
      <c r="G2" s="2" t="s">
        <v>232</v>
      </c>
      <c r="H2" s="2" t="s">
        <v>233</v>
      </c>
      <c r="I2" s="2" t="s">
        <v>234</v>
      </c>
      <c r="J2" s="2" t="s">
        <v>235</v>
      </c>
      <c r="K2" s="2" t="s">
        <v>236</v>
      </c>
      <c r="L2" s="2" t="s">
        <v>237</v>
      </c>
      <c r="M2" s="3" t="s">
        <v>238</v>
      </c>
      <c r="N2" s="2" t="s">
        <v>89</v>
      </c>
      <c r="O2" s="1">
        <v>-1234556</v>
      </c>
      <c r="Q2" s="2" t="s">
        <v>239</v>
      </c>
      <c r="R2" s="2" t="s">
        <v>240</v>
      </c>
      <c r="S2" s="2" t="s">
        <v>241</v>
      </c>
      <c r="T2" s="2" t="s">
        <v>242</v>
      </c>
      <c r="U2" s="2">
        <v>1234.0</v>
      </c>
      <c r="V2" s="2" t="s">
        <v>243</v>
      </c>
      <c r="W2" s="2" t="s">
        <v>244</v>
      </c>
      <c r="X2" s="2" t="s">
        <v>245</v>
      </c>
      <c r="Y2" s="2" t="s">
        <v>98</v>
      </c>
      <c r="Z2" s="2" t="s">
        <v>246</v>
      </c>
      <c r="AA2" s="2" t="s">
        <v>241</v>
      </c>
      <c r="AB2" s="2" t="s">
        <v>247</v>
      </c>
      <c r="AC2" s="2" t="s">
        <v>248</v>
      </c>
      <c r="AD2" s="2" t="s">
        <v>249</v>
      </c>
      <c r="AE2" s="2" t="s">
        <v>250</v>
      </c>
      <c r="AF2" s="2" t="s">
        <v>241</v>
      </c>
      <c r="AG2" s="2" t="s">
        <v>228</v>
      </c>
      <c r="AH2" s="2" t="s">
        <v>229</v>
      </c>
      <c r="AI2" s="2">
        <v>10.0</v>
      </c>
      <c r="AJ2" s="2" t="s">
        <v>244</v>
      </c>
      <c r="AK2" s="2" t="s">
        <v>230</v>
      </c>
      <c r="AL2" s="2" t="s">
        <v>231</v>
      </c>
      <c r="AM2" s="2" t="s">
        <v>232</v>
      </c>
      <c r="AN2" s="2" t="s">
        <v>245</v>
      </c>
      <c r="AO2" s="2" t="s">
        <v>228</v>
      </c>
      <c r="AP2" s="2" t="s">
        <v>229</v>
      </c>
      <c r="AQ2" s="2">
        <v>10.0</v>
      </c>
      <c r="AR2" s="2" t="s">
        <v>244</v>
      </c>
      <c r="AS2" s="2" t="s">
        <v>230</v>
      </c>
      <c r="AT2" s="2" t="s">
        <v>231</v>
      </c>
      <c r="AU2" s="2" t="s">
        <v>232</v>
      </c>
      <c r="AV2" s="2" t="s">
        <v>245</v>
      </c>
      <c r="AW2" s="2" t="s">
        <v>228</v>
      </c>
      <c r="AX2" s="2" t="s">
        <v>229</v>
      </c>
      <c r="AY2" s="2">
        <v>10.0</v>
      </c>
      <c r="AZ2" s="2" t="s">
        <v>244</v>
      </c>
      <c r="BA2" s="2" t="s">
        <v>230</v>
      </c>
      <c r="BB2" s="2" t="s">
        <v>231</v>
      </c>
      <c r="BC2" s="2" t="s">
        <v>232</v>
      </c>
      <c r="BD2" s="2" t="s">
        <v>245</v>
      </c>
      <c r="BE2" s="2" t="s">
        <v>251</v>
      </c>
      <c r="BF2" s="2" t="s">
        <v>252</v>
      </c>
      <c r="BG2" s="1">
        <v>-7654310</v>
      </c>
      <c r="BI2" s="2" t="s">
        <v>253</v>
      </c>
      <c r="BJ2" s="3" t="s">
        <v>254</v>
      </c>
      <c r="BK2" s="2" t="s">
        <v>255</v>
      </c>
      <c r="BL2" s="2" t="s">
        <v>256</v>
      </c>
      <c r="BM2" s="2" t="s">
        <v>257</v>
      </c>
      <c r="BN2" s="2" t="s">
        <v>258</v>
      </c>
      <c r="BO2" s="2" t="s">
        <v>231</v>
      </c>
      <c r="BP2" s="2" t="s">
        <v>259</v>
      </c>
      <c r="BQ2" s="2" t="s">
        <v>240</v>
      </c>
      <c r="BR2" s="2" t="s">
        <v>260</v>
      </c>
      <c r="BS2" s="2" t="s">
        <v>261</v>
      </c>
      <c r="BT2" s="2" t="s">
        <v>262</v>
      </c>
      <c r="BV2" s="2" t="s">
        <v>115</v>
      </c>
      <c r="BW2" s="1">
        <v>-1234557</v>
      </c>
      <c r="BX2" s="1">
        <v>-12345653</v>
      </c>
      <c r="BZ2" s="2" t="s">
        <v>263</v>
      </c>
      <c r="CA2" s="2">
        <v>120.0</v>
      </c>
    </row>
    <row r="3">
      <c r="A3" s="2" t="s">
        <v>264</v>
      </c>
      <c r="B3" s="2" t="s">
        <v>265</v>
      </c>
      <c r="C3" s="2" t="s">
        <v>266</v>
      </c>
      <c r="D3" s="2">
        <v>5.0</v>
      </c>
      <c r="E3" s="2">
        <v>1000.0</v>
      </c>
      <c r="F3" s="2" t="s">
        <v>267</v>
      </c>
      <c r="G3" s="2" t="s">
        <v>268</v>
      </c>
      <c r="H3" s="2" t="s">
        <v>233</v>
      </c>
      <c r="I3" s="2" t="s">
        <v>269</v>
      </c>
      <c r="J3" s="2" t="s">
        <v>270</v>
      </c>
      <c r="K3" s="2" t="s">
        <v>271</v>
      </c>
      <c r="L3" s="2" t="s">
        <v>272</v>
      </c>
      <c r="M3" s="3" t="s">
        <v>273</v>
      </c>
      <c r="N3" s="2" t="s">
        <v>128</v>
      </c>
      <c r="O3" s="1">
        <v>-1234537</v>
      </c>
      <c r="Q3" s="2" t="s">
        <v>274</v>
      </c>
      <c r="R3" s="2" t="s">
        <v>275</v>
      </c>
      <c r="S3" s="2" t="s">
        <v>241</v>
      </c>
      <c r="T3" s="2" t="s">
        <v>276</v>
      </c>
      <c r="U3" s="2">
        <v>5678.0</v>
      </c>
      <c r="V3" s="2" t="s">
        <v>277</v>
      </c>
      <c r="W3" s="2" t="s">
        <v>278</v>
      </c>
      <c r="X3" s="2" t="s">
        <v>267</v>
      </c>
      <c r="Y3" s="2" t="s">
        <v>98</v>
      </c>
      <c r="Z3" s="2" t="s">
        <v>136</v>
      </c>
      <c r="AA3" s="2" t="s">
        <v>241</v>
      </c>
      <c r="AB3" s="2" t="s">
        <v>279</v>
      </c>
      <c r="AC3" s="2" t="s">
        <v>280</v>
      </c>
      <c r="AD3" s="2" t="s">
        <v>281</v>
      </c>
      <c r="AE3" s="2" t="s">
        <v>282</v>
      </c>
      <c r="AF3" s="2" t="s">
        <v>283</v>
      </c>
      <c r="AG3" s="2" t="s">
        <v>265</v>
      </c>
      <c r="AH3" s="2" t="s">
        <v>266</v>
      </c>
      <c r="AI3" s="2">
        <v>5.0</v>
      </c>
      <c r="AJ3" s="2" t="s">
        <v>278</v>
      </c>
      <c r="AK3" s="2">
        <v>1000.0</v>
      </c>
      <c r="AL3" s="2" t="s">
        <v>267</v>
      </c>
      <c r="AM3" s="2" t="s">
        <v>268</v>
      </c>
      <c r="AN3" s="2" t="s">
        <v>267</v>
      </c>
      <c r="AO3" s="2" t="s">
        <v>265</v>
      </c>
      <c r="AP3" s="2" t="s">
        <v>266</v>
      </c>
      <c r="AQ3" s="2">
        <v>5.0</v>
      </c>
      <c r="AR3" s="2" t="s">
        <v>278</v>
      </c>
      <c r="AS3" s="2">
        <v>1000.0</v>
      </c>
      <c r="AT3" s="2" t="s">
        <v>267</v>
      </c>
      <c r="AU3" s="2" t="s">
        <v>268</v>
      </c>
      <c r="AV3" s="2" t="s">
        <v>267</v>
      </c>
      <c r="AW3" s="2" t="s">
        <v>265</v>
      </c>
      <c r="AX3" s="2" t="s">
        <v>266</v>
      </c>
      <c r="AY3" s="2">
        <v>5.0</v>
      </c>
      <c r="AZ3" s="2" t="s">
        <v>278</v>
      </c>
      <c r="BA3" s="2">
        <v>1000.0</v>
      </c>
      <c r="BB3" s="2" t="s">
        <v>267</v>
      </c>
      <c r="BC3" s="2" t="s">
        <v>268</v>
      </c>
      <c r="BD3" s="2" t="s">
        <v>267</v>
      </c>
      <c r="BE3" s="2" t="s">
        <v>284</v>
      </c>
      <c r="BF3" s="2" t="s">
        <v>285</v>
      </c>
      <c r="BG3" s="1">
        <v>-7654291</v>
      </c>
      <c r="BI3" s="2" t="s">
        <v>286</v>
      </c>
      <c r="BJ3" s="3" t="s">
        <v>287</v>
      </c>
      <c r="BK3" s="2" t="s">
        <v>288</v>
      </c>
      <c r="BL3" s="2" t="s">
        <v>289</v>
      </c>
      <c r="BM3" s="2" t="s">
        <v>290</v>
      </c>
      <c r="BN3" s="2">
        <v>2000.0</v>
      </c>
      <c r="BO3" s="2" t="s">
        <v>291</v>
      </c>
      <c r="BP3" s="2" t="s">
        <v>292</v>
      </c>
      <c r="BQ3" s="2" t="s">
        <v>275</v>
      </c>
      <c r="BR3" s="2" t="s">
        <v>293</v>
      </c>
      <c r="BS3" s="2" t="s">
        <v>294</v>
      </c>
      <c r="BT3" s="2" t="s">
        <v>295</v>
      </c>
      <c r="BV3" s="2" t="s">
        <v>296</v>
      </c>
      <c r="BW3" s="1">
        <v>-1234538</v>
      </c>
      <c r="BX3" s="1">
        <v>-123894</v>
      </c>
      <c r="BZ3" s="2" t="s">
        <v>297</v>
      </c>
      <c r="CA3" s="2">
        <v>100.0</v>
      </c>
    </row>
  </sheetData>
  <hyperlinks>
    <hyperlink r:id="rId2" ref="M2"/>
    <hyperlink r:id="rId3" ref="BJ2"/>
    <hyperlink r:id="rId4" ref="M3"/>
    <hyperlink r:id="rId5" ref="BJ3"/>
  </hyperlinks>
  <drawing r:id="rId6"/>
  <legacyDrawing r:id="rId7"/>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tr">
        <f t="array" ref="A1:CA1">TRANSPOSE('Field names'!D2:D80)</f>
        <v>ID du chef d'équipe</v>
      </c>
      <c r="B1" s="1" t="s">
        <v>298</v>
      </c>
      <c r="C1" s="1" t="s">
        <v>299</v>
      </c>
      <c r="D1" s="1" t="s">
        <v>300</v>
      </c>
      <c r="E1" s="1" t="s">
        <v>301</v>
      </c>
      <c r="F1" s="1" t="s">
        <v>302</v>
      </c>
      <c r="G1" s="1" t="s">
        <v>303</v>
      </c>
      <c r="H1" s="1" t="s">
        <v>304</v>
      </c>
      <c r="I1" s="1" t="s">
        <v>305</v>
      </c>
      <c r="J1" s="1" t="s">
        <v>306</v>
      </c>
      <c r="K1" s="1" t="s">
        <v>307</v>
      </c>
      <c r="L1" s="1" t="s">
        <v>308</v>
      </c>
      <c r="M1" s="1" t="s">
        <v>309</v>
      </c>
      <c r="N1" s="1" t="s">
        <v>310</v>
      </c>
      <c r="O1" s="1" t="s">
        <v>311</v>
      </c>
      <c r="P1" s="1" t="s">
        <v>14</v>
      </c>
      <c r="Q1" s="1" t="s">
        <v>312</v>
      </c>
      <c r="R1" s="1" t="s">
        <v>313</v>
      </c>
      <c r="S1" s="1" t="s">
        <v>314</v>
      </c>
      <c r="T1" s="1" t="s">
        <v>315</v>
      </c>
      <c r="U1" s="1" t="s">
        <v>316</v>
      </c>
      <c r="V1" s="1" t="s">
        <v>317</v>
      </c>
      <c r="W1" s="1" t="s">
        <v>318</v>
      </c>
      <c r="X1" s="1" t="s">
        <v>22</v>
      </c>
      <c r="Y1" s="1" t="s">
        <v>319</v>
      </c>
      <c r="Z1" s="1" t="s">
        <v>320</v>
      </c>
      <c r="AA1" s="1" t="s">
        <v>321</v>
      </c>
      <c r="AB1" s="1" t="s">
        <v>322</v>
      </c>
      <c r="AC1" s="1" t="s">
        <v>323</v>
      </c>
      <c r="AD1" s="1" t="s">
        <v>324</v>
      </c>
      <c r="AE1" s="1" t="s">
        <v>29</v>
      </c>
      <c r="AF1" s="1" t="s">
        <v>325</v>
      </c>
      <c r="AG1" s="1" t="s">
        <v>326</v>
      </c>
      <c r="AH1" s="1" t="s">
        <v>327</v>
      </c>
      <c r="AI1" s="1" t="s">
        <v>328</v>
      </c>
      <c r="AJ1" s="1" t="s">
        <v>329</v>
      </c>
      <c r="AK1" s="1" t="s">
        <v>330</v>
      </c>
      <c r="AL1" s="1" t="s">
        <v>331</v>
      </c>
      <c r="AM1" s="1" t="s">
        <v>332</v>
      </c>
      <c r="AN1" s="1" t="s">
        <v>333</v>
      </c>
      <c r="AO1" s="1" t="s">
        <v>334</v>
      </c>
      <c r="AP1" s="1" t="s">
        <v>335</v>
      </c>
      <c r="AQ1" s="1" t="s">
        <v>336</v>
      </c>
      <c r="AR1" s="1" t="s">
        <v>337</v>
      </c>
      <c r="AS1" s="1" t="s">
        <v>338</v>
      </c>
      <c r="AT1" s="1" t="s">
        <v>339</v>
      </c>
      <c r="AU1" s="1" t="s">
        <v>340</v>
      </c>
      <c r="AV1" s="1" t="s">
        <v>341</v>
      </c>
      <c r="AW1" s="1" t="s">
        <v>342</v>
      </c>
      <c r="AX1" s="1" t="s">
        <v>343</v>
      </c>
      <c r="AY1" s="1" t="s">
        <v>344</v>
      </c>
      <c r="AZ1" s="1" t="s">
        <v>345</v>
      </c>
      <c r="BA1" s="1" t="s">
        <v>346</v>
      </c>
      <c r="BB1" s="1" t="s">
        <v>347</v>
      </c>
      <c r="BC1" s="1" t="s">
        <v>348</v>
      </c>
      <c r="BD1" s="1" t="s">
        <v>349</v>
      </c>
      <c r="BE1" s="1" t="s">
        <v>350</v>
      </c>
      <c r="BF1" s="1" t="s">
        <v>351</v>
      </c>
      <c r="BG1" s="1" t="s">
        <v>352</v>
      </c>
      <c r="BH1" s="1" t="s">
        <v>353</v>
      </c>
      <c r="BI1" s="1" t="s">
        <v>354</v>
      </c>
      <c r="BJ1" s="1" t="s">
        <v>355</v>
      </c>
      <c r="BK1" s="1" t="s">
        <v>356</v>
      </c>
      <c r="BL1" s="1" t="s">
        <v>357</v>
      </c>
      <c r="BM1" s="1" t="s">
        <v>358</v>
      </c>
      <c r="BN1" s="1" t="s">
        <v>359</v>
      </c>
      <c r="BO1" s="1" t="s">
        <v>360</v>
      </c>
      <c r="BP1" s="1" t="s">
        <v>361</v>
      </c>
      <c r="BQ1" s="1" t="s">
        <v>362</v>
      </c>
      <c r="BR1" s="1" t="s">
        <v>363</v>
      </c>
      <c r="BS1" s="1" t="s">
        <v>364</v>
      </c>
      <c r="BT1" s="1" t="s">
        <v>365</v>
      </c>
      <c r="BU1" s="1" t="s">
        <v>366</v>
      </c>
      <c r="BV1" s="1" t="s">
        <v>367</v>
      </c>
      <c r="BW1" s="1" t="s">
        <v>368</v>
      </c>
      <c r="BX1" s="1" t="s">
        <v>369</v>
      </c>
      <c r="BY1" s="1" t="s">
        <v>370</v>
      </c>
      <c r="BZ1" s="1" t="s">
        <v>371</v>
      </c>
      <c r="CA1" s="1" t="s">
        <v>372</v>
      </c>
    </row>
    <row r="2">
      <c r="A2" s="2" t="s">
        <v>373</v>
      </c>
      <c r="B2" s="2" t="s">
        <v>374</v>
      </c>
      <c r="C2" s="2" t="s">
        <v>375</v>
      </c>
      <c r="D2" s="2">
        <v>15.0</v>
      </c>
      <c r="E2" s="2">
        <v>75002.0</v>
      </c>
      <c r="F2" s="2" t="s">
        <v>376</v>
      </c>
      <c r="G2" s="2" t="s">
        <v>377</v>
      </c>
      <c r="H2" s="2" t="s">
        <v>378</v>
      </c>
      <c r="I2" s="2" t="s">
        <v>379</v>
      </c>
      <c r="J2" s="2" t="s">
        <v>380</v>
      </c>
      <c r="K2" s="2" t="s">
        <v>381</v>
      </c>
      <c r="L2" s="2" t="s">
        <v>382</v>
      </c>
      <c r="M2" s="3" t="s">
        <v>383</v>
      </c>
      <c r="N2" s="2" t="s">
        <v>89</v>
      </c>
      <c r="O2" s="1">
        <v>-23456757</v>
      </c>
      <c r="Q2" s="2" t="s">
        <v>384</v>
      </c>
      <c r="R2" s="2" t="s">
        <v>385</v>
      </c>
      <c r="S2" s="2" t="s">
        <v>386</v>
      </c>
      <c r="T2" s="2" t="s">
        <v>387</v>
      </c>
      <c r="U2" s="2" t="s">
        <v>388</v>
      </c>
      <c r="V2" s="2" t="s">
        <v>389</v>
      </c>
      <c r="W2" s="2" t="s">
        <v>390</v>
      </c>
      <c r="X2" s="2" t="s">
        <v>391</v>
      </c>
      <c r="Y2" s="2" t="s">
        <v>98</v>
      </c>
      <c r="Z2" s="2" t="s">
        <v>99</v>
      </c>
      <c r="AA2" s="2" t="s">
        <v>386</v>
      </c>
      <c r="AB2" s="2" t="s">
        <v>392</v>
      </c>
      <c r="AC2" s="2" t="s">
        <v>393</v>
      </c>
      <c r="AD2" s="2" t="s">
        <v>394</v>
      </c>
      <c r="AE2" s="2" t="s">
        <v>395</v>
      </c>
      <c r="AF2" s="2" t="s">
        <v>386</v>
      </c>
      <c r="AG2" s="2" t="s">
        <v>374</v>
      </c>
      <c r="AH2" s="2" t="s">
        <v>375</v>
      </c>
      <c r="AI2" s="2">
        <v>15.0</v>
      </c>
      <c r="AJ2" s="2" t="s">
        <v>390</v>
      </c>
      <c r="AK2" s="2">
        <v>75002.0</v>
      </c>
      <c r="AL2" s="2" t="s">
        <v>376</v>
      </c>
      <c r="AM2" s="2" t="s">
        <v>377</v>
      </c>
      <c r="AN2" s="2" t="s">
        <v>391</v>
      </c>
      <c r="AO2" s="2" t="s">
        <v>374</v>
      </c>
      <c r="AP2" s="2" t="s">
        <v>375</v>
      </c>
      <c r="AQ2" s="2">
        <v>15.0</v>
      </c>
      <c r="AR2" s="2" t="s">
        <v>390</v>
      </c>
      <c r="AS2" s="2">
        <v>75002.0</v>
      </c>
      <c r="AT2" s="2" t="s">
        <v>376</v>
      </c>
      <c r="AU2" s="2" t="s">
        <v>377</v>
      </c>
      <c r="AV2" s="2" t="s">
        <v>391</v>
      </c>
      <c r="AW2" s="2" t="s">
        <v>374</v>
      </c>
      <c r="AX2" s="2" t="s">
        <v>375</v>
      </c>
      <c r="AY2" s="2">
        <v>15.0</v>
      </c>
      <c r="AZ2" s="2" t="s">
        <v>390</v>
      </c>
      <c r="BA2" s="2">
        <v>75002.0</v>
      </c>
      <c r="BB2" s="2" t="s">
        <v>376</v>
      </c>
      <c r="BC2" s="2" t="s">
        <v>377</v>
      </c>
      <c r="BD2" s="2" t="s">
        <v>391</v>
      </c>
      <c r="BE2" s="2" t="s">
        <v>396</v>
      </c>
      <c r="BF2" s="2" t="s">
        <v>397</v>
      </c>
      <c r="BG2" s="1">
        <v>-98765400</v>
      </c>
      <c r="BI2" s="2" t="s">
        <v>398</v>
      </c>
      <c r="BJ2" s="3" t="s">
        <v>399</v>
      </c>
      <c r="BK2" s="2" t="s">
        <v>400</v>
      </c>
      <c r="BL2" s="2" t="s">
        <v>401</v>
      </c>
      <c r="BM2" s="2" t="s">
        <v>402</v>
      </c>
      <c r="BN2" s="2">
        <v>75008.0</v>
      </c>
      <c r="BO2" s="2" t="s">
        <v>376</v>
      </c>
      <c r="BP2" s="2" t="s">
        <v>403</v>
      </c>
      <c r="BQ2" s="2" t="s">
        <v>385</v>
      </c>
      <c r="BR2" s="2" t="s">
        <v>404</v>
      </c>
      <c r="BS2" s="2" t="s">
        <v>405</v>
      </c>
      <c r="BT2" s="2" t="s">
        <v>406</v>
      </c>
      <c r="BV2" s="2" t="s">
        <v>407</v>
      </c>
      <c r="BW2" s="1">
        <v>-23456748</v>
      </c>
      <c r="BX2" s="1">
        <v>-12345651</v>
      </c>
      <c r="BZ2" s="2" t="s">
        <v>408</v>
      </c>
      <c r="CA2" s="2">
        <v>130.0</v>
      </c>
    </row>
    <row r="3">
      <c r="A3" s="2" t="s">
        <v>409</v>
      </c>
      <c r="B3" s="2" t="s">
        <v>410</v>
      </c>
      <c r="C3" s="2" t="s">
        <v>411</v>
      </c>
      <c r="D3" s="2">
        <v>100.0</v>
      </c>
      <c r="E3" s="2">
        <v>69007.0</v>
      </c>
      <c r="F3" s="2" t="s">
        <v>412</v>
      </c>
      <c r="G3" s="2" t="s">
        <v>377</v>
      </c>
      <c r="H3" s="2" t="s">
        <v>378</v>
      </c>
      <c r="I3" s="2" t="s">
        <v>413</v>
      </c>
      <c r="J3" s="2" t="s">
        <v>414</v>
      </c>
      <c r="K3" s="2" t="s">
        <v>415</v>
      </c>
      <c r="L3" s="2" t="s">
        <v>416</v>
      </c>
      <c r="M3" s="3" t="s">
        <v>417</v>
      </c>
      <c r="N3" s="2" t="s">
        <v>128</v>
      </c>
      <c r="O3" s="1">
        <v>-12345649</v>
      </c>
      <c r="Q3" s="2" t="s">
        <v>418</v>
      </c>
      <c r="R3" s="2" t="s">
        <v>419</v>
      </c>
      <c r="S3" s="2" t="s">
        <v>386</v>
      </c>
      <c r="T3" s="2" t="s">
        <v>387</v>
      </c>
      <c r="U3" s="2" t="s">
        <v>420</v>
      </c>
      <c r="V3" s="2" t="s">
        <v>421</v>
      </c>
      <c r="W3" s="2" t="s">
        <v>422</v>
      </c>
      <c r="X3" s="2" t="s">
        <v>423</v>
      </c>
      <c r="Y3" s="2" t="s">
        <v>98</v>
      </c>
      <c r="Z3" s="2" t="s">
        <v>136</v>
      </c>
      <c r="AA3" s="2" t="s">
        <v>386</v>
      </c>
      <c r="AB3" s="2" t="s">
        <v>424</v>
      </c>
      <c r="AC3" s="2" t="s">
        <v>425</v>
      </c>
      <c r="AD3" s="2" t="s">
        <v>426</v>
      </c>
      <c r="AE3" s="2" t="s">
        <v>427</v>
      </c>
      <c r="AF3" s="2" t="s">
        <v>428</v>
      </c>
      <c r="AG3" s="2" t="s">
        <v>410</v>
      </c>
      <c r="AH3" s="2" t="s">
        <v>411</v>
      </c>
      <c r="AI3" s="2">
        <v>100.0</v>
      </c>
      <c r="AJ3" s="2" t="s">
        <v>422</v>
      </c>
      <c r="AK3" s="2">
        <v>69007.0</v>
      </c>
      <c r="AL3" s="2" t="s">
        <v>412</v>
      </c>
      <c r="AM3" s="2" t="s">
        <v>377</v>
      </c>
      <c r="AN3" s="2" t="s">
        <v>423</v>
      </c>
      <c r="AO3" s="2" t="s">
        <v>410</v>
      </c>
      <c r="AP3" s="2" t="s">
        <v>411</v>
      </c>
      <c r="AQ3" s="2">
        <v>100.0</v>
      </c>
      <c r="AR3" s="2" t="s">
        <v>422</v>
      </c>
      <c r="AS3" s="2">
        <v>69007.0</v>
      </c>
      <c r="AT3" s="2" t="s">
        <v>412</v>
      </c>
      <c r="AU3" s="2" t="s">
        <v>377</v>
      </c>
      <c r="AV3" s="2" t="s">
        <v>423</v>
      </c>
      <c r="AW3" s="2" t="s">
        <v>410</v>
      </c>
      <c r="AX3" s="2" t="s">
        <v>411</v>
      </c>
      <c r="AY3" s="2">
        <v>100.0</v>
      </c>
      <c r="AZ3" s="2" t="s">
        <v>422</v>
      </c>
      <c r="BA3" s="2">
        <v>69007.0</v>
      </c>
      <c r="BB3" s="2" t="s">
        <v>412</v>
      </c>
      <c r="BC3" s="2" t="s">
        <v>377</v>
      </c>
      <c r="BD3" s="2" t="s">
        <v>423</v>
      </c>
      <c r="BE3" s="2" t="s">
        <v>429</v>
      </c>
      <c r="BF3" s="2" t="s">
        <v>430</v>
      </c>
      <c r="BG3" s="1">
        <v>-87654292</v>
      </c>
      <c r="BI3" s="2" t="s">
        <v>431</v>
      </c>
      <c r="BJ3" s="3" t="s">
        <v>432</v>
      </c>
      <c r="BK3" s="2" t="s">
        <v>433</v>
      </c>
      <c r="BL3" s="2" t="s">
        <v>434</v>
      </c>
      <c r="BM3" s="2" t="s">
        <v>435</v>
      </c>
      <c r="BN3" s="2">
        <v>69001.0</v>
      </c>
      <c r="BO3" s="2" t="s">
        <v>412</v>
      </c>
      <c r="BP3" s="2" t="s">
        <v>436</v>
      </c>
      <c r="BQ3" s="2" t="s">
        <v>419</v>
      </c>
      <c r="BR3" s="2" t="s">
        <v>437</v>
      </c>
      <c r="BS3" s="2" t="s">
        <v>438</v>
      </c>
      <c r="BT3" s="2" t="s">
        <v>439</v>
      </c>
      <c r="BV3" s="2" t="s">
        <v>440</v>
      </c>
      <c r="BW3" s="1">
        <v>-12345650</v>
      </c>
      <c r="BX3" s="1">
        <v>-87654294</v>
      </c>
      <c r="BZ3" s="2" t="s">
        <v>441</v>
      </c>
      <c r="CA3" s="2">
        <v>140.0</v>
      </c>
    </row>
  </sheetData>
  <hyperlinks>
    <hyperlink r:id="rId2" ref="M2"/>
    <hyperlink r:id="rId3" ref="BJ2"/>
    <hyperlink r:id="rId4" ref="M3"/>
    <hyperlink r:id="rId5" ref="BJ3"/>
  </hyperlinks>
  <drawing r:id="rId6"/>
  <legacyDrawing r:id="rId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tr">
        <f t="array" ref="A1:CA1">TRANSPOSE('Field names'!E2:E80)</f>
        <v>Teamleiter-ID</v>
      </c>
      <c r="B1" s="1" t="s">
        <v>0</v>
      </c>
      <c r="C1" s="1" t="s">
        <v>442</v>
      </c>
      <c r="D1" s="1" t="s">
        <v>157</v>
      </c>
      <c r="E1" s="1" t="s">
        <v>443</v>
      </c>
      <c r="F1" s="1" t="s">
        <v>444</v>
      </c>
      <c r="G1" s="1" t="s">
        <v>160</v>
      </c>
      <c r="H1" s="1" t="s">
        <v>445</v>
      </c>
      <c r="I1" s="1" t="s">
        <v>446</v>
      </c>
      <c r="J1" s="1" t="s">
        <v>447</v>
      </c>
      <c r="K1" s="1" t="s">
        <v>448</v>
      </c>
      <c r="L1" s="1" t="s">
        <v>449</v>
      </c>
      <c r="M1" s="1" t="s">
        <v>450</v>
      </c>
      <c r="N1" s="1" t="s">
        <v>451</v>
      </c>
      <c r="O1" s="1" t="s">
        <v>452</v>
      </c>
      <c r="P1" s="1" t="s">
        <v>14</v>
      </c>
      <c r="Q1" s="1" t="s">
        <v>15</v>
      </c>
      <c r="R1" s="1" t="s">
        <v>453</v>
      </c>
      <c r="S1" s="1" t="s">
        <v>454</v>
      </c>
      <c r="T1" s="1" t="s">
        <v>455</v>
      </c>
      <c r="U1" s="1" t="s">
        <v>456</v>
      </c>
      <c r="V1" s="1" t="s">
        <v>457</v>
      </c>
      <c r="W1" s="1" t="s">
        <v>458</v>
      </c>
      <c r="X1" s="1" t="s">
        <v>459</v>
      </c>
      <c r="Y1" s="1" t="s">
        <v>460</v>
      </c>
      <c r="Z1" s="1" t="s">
        <v>461</v>
      </c>
      <c r="AA1" s="1" t="s">
        <v>462</v>
      </c>
      <c r="AB1" s="1" t="s">
        <v>463</v>
      </c>
      <c r="AC1" s="1" t="s">
        <v>178</v>
      </c>
      <c r="AD1" s="1" t="s">
        <v>464</v>
      </c>
      <c r="AE1" s="1" t="s">
        <v>29</v>
      </c>
      <c r="AF1" s="1" t="s">
        <v>465</v>
      </c>
      <c r="AG1" s="1" t="s">
        <v>466</v>
      </c>
      <c r="AH1" s="1" t="s">
        <v>467</v>
      </c>
      <c r="AI1" s="1" t="s">
        <v>468</v>
      </c>
      <c r="AJ1" s="1" t="s">
        <v>469</v>
      </c>
      <c r="AK1" s="1" t="s">
        <v>470</v>
      </c>
      <c r="AL1" s="1" t="s">
        <v>471</v>
      </c>
      <c r="AM1" s="1" t="s">
        <v>472</v>
      </c>
      <c r="AN1" s="1" t="s">
        <v>473</v>
      </c>
      <c r="AO1" s="1" t="s">
        <v>474</v>
      </c>
      <c r="AP1" s="1" t="s">
        <v>475</v>
      </c>
      <c r="AQ1" s="1" t="s">
        <v>476</v>
      </c>
      <c r="AR1" s="1" t="s">
        <v>477</v>
      </c>
      <c r="AS1" s="1" t="s">
        <v>478</v>
      </c>
      <c r="AT1" s="1" t="s">
        <v>479</v>
      </c>
      <c r="AU1" s="1" t="s">
        <v>480</v>
      </c>
      <c r="AV1" s="1" t="s">
        <v>481</v>
      </c>
      <c r="AW1" s="1" t="s">
        <v>482</v>
      </c>
      <c r="AX1" s="1" t="s">
        <v>483</v>
      </c>
      <c r="AY1" s="1" t="s">
        <v>484</v>
      </c>
      <c r="AZ1" s="1" t="s">
        <v>485</v>
      </c>
      <c r="BA1" s="1" t="s">
        <v>486</v>
      </c>
      <c r="BB1" s="1" t="s">
        <v>487</v>
      </c>
      <c r="BC1" s="1" t="s">
        <v>488</v>
      </c>
      <c r="BD1" s="1" t="s">
        <v>489</v>
      </c>
      <c r="BE1" s="1" t="s">
        <v>490</v>
      </c>
      <c r="BF1" s="1" t="s">
        <v>491</v>
      </c>
      <c r="BG1" s="1" t="s">
        <v>492</v>
      </c>
      <c r="BH1" s="1" t="s">
        <v>493</v>
      </c>
      <c r="BI1" s="1" t="s">
        <v>494</v>
      </c>
      <c r="BJ1" s="1" t="s">
        <v>495</v>
      </c>
      <c r="BK1" s="1" t="s">
        <v>496</v>
      </c>
      <c r="BL1" s="1" t="s">
        <v>497</v>
      </c>
      <c r="BM1" s="1" t="s">
        <v>498</v>
      </c>
      <c r="BN1" s="1" t="s">
        <v>499</v>
      </c>
      <c r="BO1" s="1" t="s">
        <v>500</v>
      </c>
      <c r="BP1" s="1" t="s">
        <v>501</v>
      </c>
      <c r="BQ1" s="1" t="s">
        <v>502</v>
      </c>
      <c r="BR1" s="1" t="s">
        <v>503</v>
      </c>
      <c r="BS1" s="1" t="s">
        <v>504</v>
      </c>
      <c r="BT1" s="1" t="s">
        <v>505</v>
      </c>
      <c r="BU1" s="1" t="s">
        <v>506</v>
      </c>
      <c r="BV1" s="1" t="s">
        <v>507</v>
      </c>
      <c r="BW1" s="1" t="s">
        <v>508</v>
      </c>
      <c r="BX1" s="1" t="s">
        <v>509</v>
      </c>
      <c r="BY1" s="1" t="s">
        <v>510</v>
      </c>
      <c r="BZ1" s="1" t="s">
        <v>511</v>
      </c>
      <c r="CA1" s="1" t="s">
        <v>512</v>
      </c>
    </row>
    <row r="2">
      <c r="A2" s="2" t="s">
        <v>513</v>
      </c>
      <c r="B2" s="2" t="s">
        <v>514</v>
      </c>
      <c r="C2" s="2" t="s">
        <v>515</v>
      </c>
      <c r="D2" s="2">
        <v>1.0</v>
      </c>
      <c r="E2" s="2">
        <v>10115.0</v>
      </c>
      <c r="F2" s="2" t="s">
        <v>516</v>
      </c>
      <c r="G2" s="2" t="s">
        <v>517</v>
      </c>
      <c r="H2" s="2" t="s">
        <v>518</v>
      </c>
      <c r="I2" s="2" t="s">
        <v>519</v>
      </c>
      <c r="J2" s="2" t="s">
        <v>520</v>
      </c>
      <c r="K2" s="2" t="s">
        <v>521</v>
      </c>
      <c r="L2" s="2" t="s">
        <v>522</v>
      </c>
      <c r="M2" s="3" t="s">
        <v>523</v>
      </c>
      <c r="N2" s="2" t="s">
        <v>89</v>
      </c>
      <c r="O2" s="1">
        <v>-1234548</v>
      </c>
      <c r="Q2" s="2" t="s">
        <v>524</v>
      </c>
      <c r="R2" s="2" t="s">
        <v>525</v>
      </c>
      <c r="S2" s="2" t="s">
        <v>241</v>
      </c>
      <c r="T2" s="2" t="s">
        <v>526</v>
      </c>
      <c r="U2" s="2">
        <v>12345.0</v>
      </c>
      <c r="V2" s="2" t="s">
        <v>527</v>
      </c>
      <c r="W2" s="2" t="s">
        <v>528</v>
      </c>
      <c r="X2" s="2" t="s">
        <v>516</v>
      </c>
      <c r="Y2" s="2" t="s">
        <v>98</v>
      </c>
      <c r="Z2" s="2" t="s">
        <v>99</v>
      </c>
      <c r="AA2" s="2" t="s">
        <v>241</v>
      </c>
      <c r="AB2" s="2" t="s">
        <v>529</v>
      </c>
      <c r="AC2" s="2" t="s">
        <v>530</v>
      </c>
      <c r="AD2" s="2" t="s">
        <v>531</v>
      </c>
      <c r="AE2" s="2" t="s">
        <v>532</v>
      </c>
      <c r="AF2" s="2" t="s">
        <v>241</v>
      </c>
      <c r="AG2" s="2" t="s">
        <v>514</v>
      </c>
      <c r="AH2" s="2" t="s">
        <v>515</v>
      </c>
      <c r="AI2" s="2">
        <v>1.0</v>
      </c>
      <c r="AJ2" s="2" t="s">
        <v>528</v>
      </c>
      <c r="AK2" s="2">
        <v>10115.0</v>
      </c>
      <c r="AL2" s="2" t="s">
        <v>516</v>
      </c>
      <c r="AM2" s="2" t="s">
        <v>517</v>
      </c>
      <c r="AN2" s="2" t="s">
        <v>516</v>
      </c>
      <c r="AO2" s="2" t="s">
        <v>514</v>
      </c>
      <c r="AP2" s="2" t="s">
        <v>515</v>
      </c>
      <c r="AQ2" s="2">
        <v>1.0</v>
      </c>
      <c r="AR2" s="2" t="s">
        <v>528</v>
      </c>
      <c r="AS2" s="2">
        <v>10115.0</v>
      </c>
      <c r="AT2" s="2" t="s">
        <v>516</v>
      </c>
      <c r="AU2" s="2" t="s">
        <v>517</v>
      </c>
      <c r="AV2" s="2" t="s">
        <v>516</v>
      </c>
      <c r="AW2" s="2" t="s">
        <v>514</v>
      </c>
      <c r="AX2" s="2" t="s">
        <v>515</v>
      </c>
      <c r="AY2" s="2">
        <v>1.0</v>
      </c>
      <c r="AZ2" s="2" t="s">
        <v>528</v>
      </c>
      <c r="BA2" s="2">
        <v>10115.0</v>
      </c>
      <c r="BB2" s="2" t="s">
        <v>516</v>
      </c>
      <c r="BC2" s="2" t="s">
        <v>517</v>
      </c>
      <c r="BD2" s="2" t="s">
        <v>516</v>
      </c>
      <c r="BE2" s="2" t="s">
        <v>533</v>
      </c>
      <c r="BF2" s="2" t="s">
        <v>534</v>
      </c>
      <c r="BG2" s="1">
        <v>-7654302</v>
      </c>
      <c r="BI2" s="2" t="s">
        <v>535</v>
      </c>
      <c r="BJ2" s="3" t="s">
        <v>536</v>
      </c>
      <c r="BK2" s="2" t="s">
        <v>537</v>
      </c>
      <c r="BL2" s="2" t="s">
        <v>538</v>
      </c>
      <c r="BM2" s="2" t="s">
        <v>539</v>
      </c>
      <c r="BN2" s="2">
        <v>10117.0</v>
      </c>
      <c r="BO2" s="2" t="s">
        <v>516</v>
      </c>
      <c r="BP2" s="2" t="s">
        <v>540</v>
      </c>
      <c r="BQ2" s="2" t="s">
        <v>525</v>
      </c>
      <c r="BR2" s="2" t="s">
        <v>541</v>
      </c>
      <c r="BS2" s="2" t="s">
        <v>542</v>
      </c>
      <c r="BT2" s="2" t="s">
        <v>543</v>
      </c>
      <c r="BV2" s="2" t="s">
        <v>544</v>
      </c>
      <c r="BW2" s="1">
        <v>-1234549</v>
      </c>
      <c r="BX2" s="1">
        <v>-12345780</v>
      </c>
      <c r="BZ2" s="2" t="s">
        <v>545</v>
      </c>
      <c r="CA2" s="2">
        <v>150.0</v>
      </c>
    </row>
    <row r="3">
      <c r="A3" s="2" t="s">
        <v>546</v>
      </c>
      <c r="B3" s="2" t="s">
        <v>547</v>
      </c>
      <c r="C3" s="2" t="s">
        <v>548</v>
      </c>
      <c r="D3" s="2">
        <v>50.0</v>
      </c>
      <c r="E3" s="2">
        <v>80331.0</v>
      </c>
      <c r="F3" s="2" t="s">
        <v>549</v>
      </c>
      <c r="G3" s="2" t="s">
        <v>517</v>
      </c>
      <c r="H3" s="2" t="s">
        <v>518</v>
      </c>
      <c r="I3" s="2" t="s">
        <v>550</v>
      </c>
      <c r="J3" s="2" t="s">
        <v>551</v>
      </c>
      <c r="K3" s="2" t="s">
        <v>552</v>
      </c>
      <c r="L3" s="2" t="s">
        <v>553</v>
      </c>
      <c r="M3" s="3" t="s">
        <v>554</v>
      </c>
      <c r="N3" s="2" t="s">
        <v>128</v>
      </c>
      <c r="O3" s="1">
        <v>-1234607</v>
      </c>
      <c r="Q3" s="2" t="s">
        <v>555</v>
      </c>
      <c r="R3" s="2" t="s">
        <v>556</v>
      </c>
      <c r="S3" s="2" t="s">
        <v>241</v>
      </c>
      <c r="T3" s="2" t="s">
        <v>557</v>
      </c>
      <c r="U3" s="2">
        <v>67890.0</v>
      </c>
      <c r="V3" s="2" t="s">
        <v>558</v>
      </c>
      <c r="W3" s="2" t="s">
        <v>559</v>
      </c>
      <c r="X3" s="2" t="s">
        <v>560</v>
      </c>
      <c r="Y3" s="2" t="s">
        <v>98</v>
      </c>
      <c r="Z3" s="2" t="s">
        <v>136</v>
      </c>
      <c r="AA3" s="2" t="s">
        <v>241</v>
      </c>
      <c r="AB3" s="2" t="s">
        <v>561</v>
      </c>
      <c r="AC3" s="2" t="s">
        <v>562</v>
      </c>
      <c r="AD3" s="2" t="s">
        <v>563</v>
      </c>
      <c r="AE3" s="2" t="s">
        <v>564</v>
      </c>
      <c r="AF3" s="2" t="s">
        <v>565</v>
      </c>
      <c r="AG3" s="2" t="s">
        <v>547</v>
      </c>
      <c r="AH3" s="2" t="s">
        <v>548</v>
      </c>
      <c r="AI3" s="2">
        <v>50.0</v>
      </c>
      <c r="AJ3" s="2" t="s">
        <v>559</v>
      </c>
      <c r="AK3" s="2">
        <v>80331.0</v>
      </c>
      <c r="AL3" s="2" t="s">
        <v>549</v>
      </c>
      <c r="AM3" s="2" t="s">
        <v>517</v>
      </c>
      <c r="AN3" s="2" t="s">
        <v>560</v>
      </c>
      <c r="AO3" s="2" t="s">
        <v>547</v>
      </c>
      <c r="AP3" s="2" t="s">
        <v>548</v>
      </c>
      <c r="AQ3" s="2">
        <v>50.0</v>
      </c>
      <c r="AR3" s="2" t="s">
        <v>559</v>
      </c>
      <c r="AS3" s="2">
        <v>80331.0</v>
      </c>
      <c r="AT3" s="2" t="s">
        <v>549</v>
      </c>
      <c r="AU3" s="2" t="s">
        <v>517</v>
      </c>
      <c r="AV3" s="2" t="s">
        <v>560</v>
      </c>
      <c r="AW3" s="2" t="s">
        <v>547</v>
      </c>
      <c r="AX3" s="2" t="s">
        <v>548</v>
      </c>
      <c r="AY3" s="2">
        <v>50.0</v>
      </c>
      <c r="AZ3" s="2" t="s">
        <v>559</v>
      </c>
      <c r="BA3" s="2">
        <v>80331.0</v>
      </c>
      <c r="BB3" s="2" t="s">
        <v>549</v>
      </c>
      <c r="BC3" s="2" t="s">
        <v>517</v>
      </c>
      <c r="BD3" s="2" t="s">
        <v>560</v>
      </c>
      <c r="BE3" s="2" t="s">
        <v>566</v>
      </c>
      <c r="BF3" s="2" t="s">
        <v>567</v>
      </c>
      <c r="BG3" s="1">
        <v>-7654361</v>
      </c>
      <c r="BI3" s="2" t="s">
        <v>568</v>
      </c>
      <c r="BJ3" s="3" t="s">
        <v>569</v>
      </c>
      <c r="BK3" s="2" t="s">
        <v>570</v>
      </c>
      <c r="BL3" s="2" t="s">
        <v>571</v>
      </c>
      <c r="BM3" s="2" t="s">
        <v>572</v>
      </c>
      <c r="BN3" s="2">
        <v>80333.0</v>
      </c>
      <c r="BO3" s="2" t="s">
        <v>549</v>
      </c>
      <c r="BP3" s="2" t="s">
        <v>573</v>
      </c>
      <c r="BQ3" s="2" t="s">
        <v>556</v>
      </c>
      <c r="BR3" s="2" t="s">
        <v>574</v>
      </c>
      <c r="BS3" s="2" t="s">
        <v>575</v>
      </c>
      <c r="BT3" s="2" t="s">
        <v>576</v>
      </c>
      <c r="BV3" s="2" t="s">
        <v>577</v>
      </c>
      <c r="BW3" s="1">
        <v>-1234608</v>
      </c>
      <c r="BX3" s="1">
        <v>-87654442</v>
      </c>
      <c r="BZ3" s="2" t="s">
        <v>578</v>
      </c>
      <c r="CA3" s="2">
        <v>160.0</v>
      </c>
    </row>
  </sheetData>
  <hyperlinks>
    <hyperlink r:id="rId2" ref="M2"/>
    <hyperlink r:id="rId3" ref="BJ2"/>
    <hyperlink r:id="rId4" ref="M3"/>
    <hyperlink r:id="rId5" ref="BJ3"/>
  </hyperlinks>
  <drawing r:id="rId6"/>
  <legacyDrawing r:id="rId7"/>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tr">
        <f t="array" ref="A1:CA1">TRANSPOSE('Field names'!F2:F80)</f>
        <v>ID del jefe de equipo</v>
      </c>
      <c r="B1" s="1" t="s">
        <v>300</v>
      </c>
      <c r="C1" s="1" t="s">
        <v>579</v>
      </c>
      <c r="D1" s="1" t="s">
        <v>580</v>
      </c>
      <c r="E1" s="1" t="s">
        <v>581</v>
      </c>
      <c r="F1" s="1" t="s">
        <v>582</v>
      </c>
      <c r="G1" s="1" t="s">
        <v>583</v>
      </c>
      <c r="H1" s="1" t="s">
        <v>584</v>
      </c>
      <c r="I1" s="1" t="s">
        <v>585</v>
      </c>
      <c r="J1" s="1" t="s">
        <v>586</v>
      </c>
      <c r="K1" s="1" t="s">
        <v>587</v>
      </c>
      <c r="L1" s="1" t="s">
        <v>588</v>
      </c>
      <c r="M1" s="1" t="s">
        <v>589</v>
      </c>
      <c r="N1" s="1" t="s">
        <v>590</v>
      </c>
      <c r="O1" s="1" t="s">
        <v>591</v>
      </c>
      <c r="P1" s="1" t="s">
        <v>14</v>
      </c>
      <c r="Q1" s="1" t="s">
        <v>592</v>
      </c>
      <c r="R1" s="1" t="s">
        <v>593</v>
      </c>
      <c r="S1" s="1" t="s">
        <v>594</v>
      </c>
      <c r="T1" s="1" t="s">
        <v>18</v>
      </c>
      <c r="U1" s="1" t="s">
        <v>595</v>
      </c>
      <c r="V1" s="1" t="s">
        <v>596</v>
      </c>
      <c r="W1" s="1" t="s">
        <v>597</v>
      </c>
      <c r="X1" s="1" t="s">
        <v>598</v>
      </c>
      <c r="Y1" s="1" t="s">
        <v>599</v>
      </c>
      <c r="Z1" s="1" t="s">
        <v>600</v>
      </c>
      <c r="AA1" s="1" t="s">
        <v>601</v>
      </c>
      <c r="AB1" s="1" t="s">
        <v>602</v>
      </c>
      <c r="AC1" s="1" t="s">
        <v>603</v>
      </c>
      <c r="AD1" s="1" t="s">
        <v>604</v>
      </c>
      <c r="AE1" s="1" t="s">
        <v>29</v>
      </c>
      <c r="AF1" s="1" t="s">
        <v>605</v>
      </c>
      <c r="AG1" s="1" t="s">
        <v>606</v>
      </c>
      <c r="AH1" s="1" t="s">
        <v>607</v>
      </c>
      <c r="AI1" s="1" t="s">
        <v>608</v>
      </c>
      <c r="AJ1" s="1" t="s">
        <v>609</v>
      </c>
      <c r="AK1" s="1" t="s">
        <v>610</v>
      </c>
      <c r="AL1" s="1" t="s">
        <v>611</v>
      </c>
      <c r="AM1" s="1" t="s">
        <v>612</v>
      </c>
      <c r="AN1" s="1" t="s">
        <v>613</v>
      </c>
      <c r="AO1" s="1" t="s">
        <v>614</v>
      </c>
      <c r="AP1" s="1" t="s">
        <v>615</v>
      </c>
      <c r="AQ1" s="1" t="s">
        <v>616</v>
      </c>
      <c r="AR1" s="1" t="s">
        <v>617</v>
      </c>
      <c r="AS1" s="1" t="s">
        <v>618</v>
      </c>
      <c r="AT1" s="1" t="s">
        <v>619</v>
      </c>
      <c r="AU1" s="1" t="s">
        <v>620</v>
      </c>
      <c r="AV1" s="1" t="s">
        <v>621</v>
      </c>
      <c r="AW1" s="1" t="s">
        <v>622</v>
      </c>
      <c r="AX1" s="1" t="s">
        <v>623</v>
      </c>
      <c r="AY1" s="1" t="s">
        <v>624</v>
      </c>
      <c r="AZ1" s="1" t="s">
        <v>625</v>
      </c>
      <c r="BA1" s="1" t="s">
        <v>626</v>
      </c>
      <c r="BB1" s="1" t="s">
        <v>627</v>
      </c>
      <c r="BC1" s="1" t="s">
        <v>628</v>
      </c>
      <c r="BD1" s="1" t="s">
        <v>629</v>
      </c>
      <c r="BE1" s="1" t="s">
        <v>630</v>
      </c>
      <c r="BF1" s="1" t="s">
        <v>631</v>
      </c>
      <c r="BG1" s="1" t="s">
        <v>632</v>
      </c>
      <c r="BH1" s="1" t="s">
        <v>633</v>
      </c>
      <c r="BI1" s="1" t="s">
        <v>634</v>
      </c>
      <c r="BJ1" s="1" t="s">
        <v>635</v>
      </c>
      <c r="BK1" s="1" t="s">
        <v>636</v>
      </c>
      <c r="BL1" s="1" t="s">
        <v>637</v>
      </c>
      <c r="BM1" s="1" t="s">
        <v>638</v>
      </c>
      <c r="BN1" s="1" t="s">
        <v>639</v>
      </c>
      <c r="BO1" s="1" t="s">
        <v>640</v>
      </c>
      <c r="BP1" s="1" t="s">
        <v>641</v>
      </c>
      <c r="BQ1" s="1" t="s">
        <v>642</v>
      </c>
      <c r="BR1" s="1" t="s">
        <v>643</v>
      </c>
      <c r="BS1" s="1" t="s">
        <v>644</v>
      </c>
      <c r="BT1" s="1" t="s">
        <v>645</v>
      </c>
      <c r="BU1" s="1" t="s">
        <v>646</v>
      </c>
      <c r="BV1" s="1" t="s">
        <v>647</v>
      </c>
      <c r="BW1" s="1" t="s">
        <v>648</v>
      </c>
      <c r="BX1" s="1" t="s">
        <v>649</v>
      </c>
      <c r="BY1" s="1" t="s">
        <v>650</v>
      </c>
      <c r="BZ1" s="1" t="s">
        <v>651</v>
      </c>
      <c r="CA1" s="1" t="s">
        <v>652</v>
      </c>
    </row>
    <row r="2">
      <c r="A2" s="2" t="s">
        <v>653</v>
      </c>
      <c r="B2" s="2" t="s">
        <v>654</v>
      </c>
      <c r="C2" s="2" t="s">
        <v>655</v>
      </c>
      <c r="D2" s="2">
        <v>12.0</v>
      </c>
      <c r="E2" s="2">
        <v>28001.0</v>
      </c>
      <c r="F2" s="2" t="s">
        <v>656</v>
      </c>
      <c r="G2" s="2" t="s">
        <v>657</v>
      </c>
      <c r="H2" s="2" t="s">
        <v>658</v>
      </c>
      <c r="I2" s="2" t="s">
        <v>659</v>
      </c>
      <c r="J2" s="2" t="s">
        <v>660</v>
      </c>
      <c r="K2" s="2" t="s">
        <v>661</v>
      </c>
      <c r="L2" s="2" t="s">
        <v>662</v>
      </c>
      <c r="M2" s="3" t="s">
        <v>663</v>
      </c>
      <c r="N2" s="2" t="s">
        <v>89</v>
      </c>
      <c r="O2" s="1">
        <v>-1234624</v>
      </c>
      <c r="Q2" s="2" t="s">
        <v>664</v>
      </c>
      <c r="R2" s="2" t="s">
        <v>665</v>
      </c>
      <c r="S2" s="2" t="s">
        <v>666</v>
      </c>
      <c r="T2" s="2" t="s">
        <v>667</v>
      </c>
      <c r="U2" s="2">
        <v>5610.0</v>
      </c>
      <c r="V2" s="2" t="s">
        <v>668</v>
      </c>
      <c r="W2" s="2" t="s">
        <v>669</v>
      </c>
      <c r="X2" s="2" t="s">
        <v>656</v>
      </c>
      <c r="Y2" s="2" t="s">
        <v>98</v>
      </c>
      <c r="Z2" s="2" t="s">
        <v>670</v>
      </c>
      <c r="AA2" s="2" t="s">
        <v>666</v>
      </c>
      <c r="AB2" s="2" t="s">
        <v>671</v>
      </c>
      <c r="AC2" s="2" t="s">
        <v>672</v>
      </c>
      <c r="AD2" s="2" t="s">
        <v>673</v>
      </c>
      <c r="AE2" s="2" t="s">
        <v>674</v>
      </c>
      <c r="AF2" s="2" t="s">
        <v>666</v>
      </c>
      <c r="AG2" s="2" t="s">
        <v>654</v>
      </c>
      <c r="AH2" s="2" t="s">
        <v>655</v>
      </c>
      <c r="AI2" s="2">
        <v>12.0</v>
      </c>
      <c r="AJ2" s="2" t="s">
        <v>669</v>
      </c>
      <c r="AK2" s="2">
        <v>28001.0</v>
      </c>
      <c r="AL2" s="2" t="s">
        <v>656</v>
      </c>
      <c r="AM2" s="2" t="s">
        <v>657</v>
      </c>
      <c r="AN2" s="2" t="s">
        <v>656</v>
      </c>
      <c r="AO2" s="2" t="s">
        <v>654</v>
      </c>
      <c r="AP2" s="2" t="s">
        <v>655</v>
      </c>
      <c r="AQ2" s="2">
        <v>12.0</v>
      </c>
      <c r="AR2" s="2" t="s">
        <v>669</v>
      </c>
      <c r="AS2" s="2">
        <v>28001.0</v>
      </c>
      <c r="AT2" s="2" t="s">
        <v>656</v>
      </c>
      <c r="AU2" s="2" t="s">
        <v>657</v>
      </c>
      <c r="AV2" s="2" t="s">
        <v>656</v>
      </c>
      <c r="AW2" s="2" t="s">
        <v>654</v>
      </c>
      <c r="AX2" s="2" t="s">
        <v>655</v>
      </c>
      <c r="AY2" s="2">
        <v>12.0</v>
      </c>
      <c r="AZ2" s="2" t="s">
        <v>669</v>
      </c>
      <c r="BA2" s="2">
        <v>28001.0</v>
      </c>
      <c r="BB2" s="2" t="s">
        <v>656</v>
      </c>
      <c r="BC2" s="2" t="s">
        <v>657</v>
      </c>
      <c r="BD2" s="2" t="s">
        <v>656</v>
      </c>
      <c r="BE2" s="2" t="s">
        <v>675</v>
      </c>
      <c r="BF2" s="2" t="s">
        <v>676</v>
      </c>
      <c r="BG2" s="1">
        <v>-7654378</v>
      </c>
      <c r="BI2" s="2" t="s">
        <v>677</v>
      </c>
      <c r="BJ2" s="3" t="s">
        <v>678</v>
      </c>
      <c r="BK2" s="2" t="s">
        <v>679</v>
      </c>
      <c r="BL2" s="2" t="s">
        <v>680</v>
      </c>
      <c r="BM2" s="2" t="s">
        <v>681</v>
      </c>
      <c r="BN2" s="2">
        <v>28002.0</v>
      </c>
      <c r="BO2" s="2" t="s">
        <v>656</v>
      </c>
      <c r="BP2" s="2" t="s">
        <v>682</v>
      </c>
      <c r="BQ2" s="2" t="s">
        <v>665</v>
      </c>
      <c r="BR2" s="2" t="s">
        <v>683</v>
      </c>
      <c r="BS2" s="2" t="s">
        <v>684</v>
      </c>
      <c r="BT2" s="2" t="s">
        <v>685</v>
      </c>
      <c r="BV2" s="2" t="s">
        <v>686</v>
      </c>
      <c r="BW2" s="1">
        <v>-1234625</v>
      </c>
      <c r="BX2" s="1">
        <v>-124022</v>
      </c>
      <c r="BZ2" s="2" t="s">
        <v>687</v>
      </c>
      <c r="CA2" s="2">
        <v>110.0</v>
      </c>
    </row>
    <row r="3">
      <c r="A3" s="2" t="s">
        <v>688</v>
      </c>
      <c r="B3" s="2" t="s">
        <v>689</v>
      </c>
      <c r="C3" s="2" t="s">
        <v>690</v>
      </c>
      <c r="D3" s="2">
        <v>100.0</v>
      </c>
      <c r="E3" s="2">
        <v>8001.0</v>
      </c>
      <c r="F3" s="2" t="s">
        <v>691</v>
      </c>
      <c r="G3" s="2" t="s">
        <v>657</v>
      </c>
      <c r="H3" s="2" t="s">
        <v>658</v>
      </c>
      <c r="I3" s="2" t="s">
        <v>692</v>
      </c>
      <c r="J3" s="2" t="s">
        <v>693</v>
      </c>
      <c r="K3" s="2" t="s">
        <v>694</v>
      </c>
      <c r="L3" s="2" t="s">
        <v>695</v>
      </c>
      <c r="M3" s="3" t="s">
        <v>696</v>
      </c>
      <c r="N3" s="2" t="s">
        <v>128</v>
      </c>
      <c r="O3" s="1">
        <v>-1234626</v>
      </c>
      <c r="Q3" s="2" t="s">
        <v>697</v>
      </c>
      <c r="R3" s="2" t="s">
        <v>698</v>
      </c>
      <c r="S3" s="2" t="s">
        <v>666</v>
      </c>
      <c r="T3" s="2" t="s">
        <v>699</v>
      </c>
      <c r="U3" s="2">
        <v>3514.0</v>
      </c>
      <c r="V3" s="2" t="s">
        <v>700</v>
      </c>
      <c r="W3" s="2" t="s">
        <v>701</v>
      </c>
      <c r="X3" s="2" t="s">
        <v>691</v>
      </c>
      <c r="Y3" s="2" t="s">
        <v>98</v>
      </c>
      <c r="Z3" s="2" t="s">
        <v>136</v>
      </c>
      <c r="AA3" s="2" t="s">
        <v>666</v>
      </c>
      <c r="AB3" s="2" t="s">
        <v>702</v>
      </c>
      <c r="AC3" s="2" t="s">
        <v>703</v>
      </c>
      <c r="AD3" s="2" t="s">
        <v>704</v>
      </c>
      <c r="AE3" s="2" t="s">
        <v>705</v>
      </c>
      <c r="AF3" s="2" t="s">
        <v>141</v>
      </c>
      <c r="AG3" s="2" t="s">
        <v>689</v>
      </c>
      <c r="AH3" s="2" t="s">
        <v>690</v>
      </c>
      <c r="AI3" s="2">
        <v>100.0</v>
      </c>
      <c r="AJ3" s="2" t="s">
        <v>701</v>
      </c>
      <c r="AK3" s="2">
        <v>8001.0</v>
      </c>
      <c r="AL3" s="2" t="s">
        <v>691</v>
      </c>
      <c r="AM3" s="2" t="s">
        <v>657</v>
      </c>
      <c r="AN3" s="2" t="s">
        <v>691</v>
      </c>
      <c r="AO3" s="2" t="s">
        <v>689</v>
      </c>
      <c r="AP3" s="2" t="s">
        <v>690</v>
      </c>
      <c r="AQ3" s="2">
        <v>100.0</v>
      </c>
      <c r="AR3" s="2" t="s">
        <v>701</v>
      </c>
      <c r="AS3" s="2">
        <v>8001.0</v>
      </c>
      <c r="AT3" s="2" t="s">
        <v>691</v>
      </c>
      <c r="AU3" s="2" t="s">
        <v>657</v>
      </c>
      <c r="AV3" s="2" t="s">
        <v>691</v>
      </c>
      <c r="AW3" s="2" t="s">
        <v>689</v>
      </c>
      <c r="AX3" s="2" t="s">
        <v>690</v>
      </c>
      <c r="AY3" s="2">
        <v>100.0</v>
      </c>
      <c r="AZ3" s="2" t="s">
        <v>701</v>
      </c>
      <c r="BA3" s="2">
        <v>8001.0</v>
      </c>
      <c r="BB3" s="2" t="s">
        <v>691</v>
      </c>
      <c r="BC3" s="2" t="s">
        <v>657</v>
      </c>
      <c r="BD3" s="2" t="s">
        <v>691</v>
      </c>
      <c r="BE3" s="2" t="s">
        <v>706</v>
      </c>
      <c r="BF3" s="2" t="s">
        <v>707</v>
      </c>
      <c r="BG3" s="1">
        <v>-7654380</v>
      </c>
      <c r="BI3" s="2" t="s">
        <v>708</v>
      </c>
      <c r="BJ3" s="3" t="s">
        <v>709</v>
      </c>
      <c r="BK3" s="2" t="s">
        <v>710</v>
      </c>
      <c r="BL3" s="2" t="s">
        <v>711</v>
      </c>
      <c r="BM3" s="2" t="s">
        <v>712</v>
      </c>
      <c r="BN3" s="2">
        <v>8002.0</v>
      </c>
      <c r="BO3" s="2" t="s">
        <v>691</v>
      </c>
      <c r="BP3" s="2" t="s">
        <v>713</v>
      </c>
      <c r="BQ3" s="2" t="s">
        <v>698</v>
      </c>
      <c r="BR3" s="2" t="s">
        <v>714</v>
      </c>
      <c r="BS3" s="2" t="s">
        <v>715</v>
      </c>
      <c r="BT3" s="2" t="s">
        <v>716</v>
      </c>
      <c r="BV3" s="2" t="s">
        <v>717</v>
      </c>
      <c r="BW3" s="1">
        <v>-1234627</v>
      </c>
      <c r="BX3" s="1">
        <v>-654897</v>
      </c>
      <c r="BZ3" s="2" t="s">
        <v>718</v>
      </c>
      <c r="CA3" s="2">
        <v>120.0</v>
      </c>
    </row>
  </sheetData>
  <hyperlinks>
    <hyperlink r:id="rId2" ref="M2"/>
    <hyperlink r:id="rId3" ref="BJ2"/>
    <hyperlink r:id="rId4" ref="M3"/>
    <hyperlink r:id="rId5" ref="BJ3"/>
  </hyperlinks>
  <drawing r:id="rId6"/>
  <legacyDrawing r:id="rId7"/>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tr">
        <f t="array" ref="A1:CA1">TRANSPOSE('Field names'!G2:G80)</f>
        <v>ID del caposquadra</v>
      </c>
      <c r="B1" s="1" t="s">
        <v>719</v>
      </c>
      <c r="C1" s="1" t="s">
        <v>720</v>
      </c>
      <c r="D1" s="1" t="s">
        <v>721</v>
      </c>
      <c r="E1" s="1" t="s">
        <v>722</v>
      </c>
      <c r="F1" s="1" t="s">
        <v>723</v>
      </c>
      <c r="G1" s="1" t="s">
        <v>724</v>
      </c>
      <c r="H1" s="1" t="s">
        <v>725</v>
      </c>
      <c r="I1" s="1" t="s">
        <v>726</v>
      </c>
      <c r="J1" s="1" t="s">
        <v>727</v>
      </c>
      <c r="K1" s="1" t="s">
        <v>728</v>
      </c>
      <c r="L1" s="1" t="s">
        <v>729</v>
      </c>
      <c r="M1" s="1" t="s">
        <v>730</v>
      </c>
      <c r="N1" s="1" t="s">
        <v>731</v>
      </c>
      <c r="O1" s="1" t="s">
        <v>732</v>
      </c>
      <c r="P1" s="1" t="s">
        <v>14</v>
      </c>
      <c r="Q1" s="1" t="s">
        <v>733</v>
      </c>
      <c r="R1" s="1" t="s">
        <v>734</v>
      </c>
      <c r="S1" s="1" t="s">
        <v>735</v>
      </c>
      <c r="T1" s="1" t="s">
        <v>736</v>
      </c>
      <c r="U1" s="1" t="s">
        <v>737</v>
      </c>
      <c r="V1" s="1" t="s">
        <v>738</v>
      </c>
      <c r="W1" s="1" t="s">
        <v>739</v>
      </c>
      <c r="X1" s="1" t="s">
        <v>598</v>
      </c>
      <c r="Y1" s="1" t="s">
        <v>740</v>
      </c>
      <c r="Z1" s="1" t="s">
        <v>741</v>
      </c>
      <c r="AA1" s="1" t="s">
        <v>742</v>
      </c>
      <c r="AB1" s="1" t="s">
        <v>743</v>
      </c>
      <c r="AC1" s="1" t="s">
        <v>744</v>
      </c>
      <c r="AD1" s="1" t="s">
        <v>745</v>
      </c>
      <c r="AE1" s="1" t="s">
        <v>29</v>
      </c>
      <c r="AF1" s="1" t="s">
        <v>746</v>
      </c>
      <c r="AG1" s="1" t="s">
        <v>747</v>
      </c>
      <c r="AH1" s="1" t="s">
        <v>748</v>
      </c>
      <c r="AI1" s="1" t="s">
        <v>749</v>
      </c>
      <c r="AJ1" s="1" t="s">
        <v>750</v>
      </c>
      <c r="AK1" s="1" t="s">
        <v>751</v>
      </c>
      <c r="AL1" s="1" t="s">
        <v>752</v>
      </c>
      <c r="AM1" s="1" t="s">
        <v>753</v>
      </c>
      <c r="AN1" s="1" t="s">
        <v>754</v>
      </c>
      <c r="AO1" s="1" t="s">
        <v>755</v>
      </c>
      <c r="AP1" s="1" t="s">
        <v>756</v>
      </c>
      <c r="AQ1" s="1" t="s">
        <v>757</v>
      </c>
      <c r="AR1" s="1" t="s">
        <v>758</v>
      </c>
      <c r="AS1" s="1" t="s">
        <v>759</v>
      </c>
      <c r="AT1" s="1" t="s">
        <v>760</v>
      </c>
      <c r="AU1" s="1" t="s">
        <v>761</v>
      </c>
      <c r="AV1" s="1" t="s">
        <v>762</v>
      </c>
      <c r="AW1" s="1" t="s">
        <v>763</v>
      </c>
      <c r="AX1" s="1" t="s">
        <v>764</v>
      </c>
      <c r="AY1" s="1" t="s">
        <v>765</v>
      </c>
      <c r="AZ1" s="1" t="s">
        <v>766</v>
      </c>
      <c r="BA1" s="1" t="s">
        <v>767</v>
      </c>
      <c r="BB1" s="1" t="s">
        <v>768</v>
      </c>
      <c r="BC1" s="1" t="s">
        <v>769</v>
      </c>
      <c r="BD1" s="1" t="s">
        <v>770</v>
      </c>
      <c r="BE1" s="1" t="s">
        <v>771</v>
      </c>
      <c r="BF1" s="1" t="s">
        <v>772</v>
      </c>
      <c r="BG1" s="1" t="s">
        <v>773</v>
      </c>
      <c r="BH1" s="1" t="s">
        <v>774</v>
      </c>
      <c r="BI1" s="1" t="s">
        <v>775</v>
      </c>
      <c r="BJ1" s="1" t="s">
        <v>776</v>
      </c>
      <c r="BK1" s="1" t="s">
        <v>777</v>
      </c>
      <c r="BL1" s="1" t="s">
        <v>778</v>
      </c>
      <c r="BM1" s="1" t="s">
        <v>779</v>
      </c>
      <c r="BN1" s="1" t="s">
        <v>780</v>
      </c>
      <c r="BO1" s="1" t="s">
        <v>781</v>
      </c>
      <c r="BP1" s="1" t="s">
        <v>782</v>
      </c>
      <c r="BQ1" s="1" t="s">
        <v>783</v>
      </c>
      <c r="BR1" s="1" t="s">
        <v>784</v>
      </c>
      <c r="BS1" s="1" t="s">
        <v>785</v>
      </c>
      <c r="BT1" s="1" t="s">
        <v>786</v>
      </c>
      <c r="BU1" s="1" t="s">
        <v>787</v>
      </c>
      <c r="BV1" s="1" t="s">
        <v>788</v>
      </c>
      <c r="BW1" s="1" t="s">
        <v>789</v>
      </c>
      <c r="BX1" s="1" t="s">
        <v>790</v>
      </c>
      <c r="BY1" s="1" t="s">
        <v>791</v>
      </c>
      <c r="BZ1" s="1" t="s">
        <v>792</v>
      </c>
      <c r="CA1" s="1" t="s">
        <v>793</v>
      </c>
    </row>
    <row r="2">
      <c r="A2" s="2" t="s">
        <v>794</v>
      </c>
      <c r="B2" s="2" t="s">
        <v>795</v>
      </c>
      <c r="C2" s="2" t="s">
        <v>796</v>
      </c>
      <c r="D2" s="2">
        <v>10.0</v>
      </c>
      <c r="E2" s="2">
        <v>100.0</v>
      </c>
      <c r="F2" s="2" t="s">
        <v>797</v>
      </c>
      <c r="G2" s="2" t="s">
        <v>798</v>
      </c>
      <c r="H2" s="2" t="s">
        <v>93</v>
      </c>
      <c r="I2" s="2" t="s">
        <v>799</v>
      </c>
      <c r="J2" s="2" t="s">
        <v>800</v>
      </c>
      <c r="K2" s="2" t="s">
        <v>86</v>
      </c>
      <c r="L2" s="2" t="s">
        <v>801</v>
      </c>
      <c r="M2" s="3" t="s">
        <v>802</v>
      </c>
      <c r="N2" s="2" t="s">
        <v>89</v>
      </c>
      <c r="O2" s="1">
        <v>-1234534</v>
      </c>
      <c r="Q2" s="2" t="s">
        <v>803</v>
      </c>
      <c r="R2" s="2" t="s">
        <v>804</v>
      </c>
      <c r="S2" s="2" t="s">
        <v>805</v>
      </c>
      <c r="T2" s="2" t="s">
        <v>806</v>
      </c>
      <c r="U2" s="2">
        <v>561011.0</v>
      </c>
      <c r="V2" s="2" t="s">
        <v>807</v>
      </c>
      <c r="W2" s="2" t="s">
        <v>808</v>
      </c>
      <c r="X2" s="2" t="s">
        <v>809</v>
      </c>
      <c r="Y2" s="2" t="s">
        <v>98</v>
      </c>
      <c r="Z2" s="2" t="s">
        <v>99</v>
      </c>
      <c r="AA2" s="2" t="s">
        <v>805</v>
      </c>
      <c r="AB2" s="2" t="s">
        <v>810</v>
      </c>
      <c r="AC2" s="2" t="s">
        <v>811</v>
      </c>
      <c r="AD2" s="2" t="s">
        <v>812</v>
      </c>
      <c r="AE2" s="2" t="s">
        <v>813</v>
      </c>
      <c r="AF2" s="2" t="s">
        <v>805</v>
      </c>
      <c r="AG2" s="2" t="s">
        <v>795</v>
      </c>
      <c r="AH2" s="2" t="s">
        <v>796</v>
      </c>
      <c r="AI2" s="2">
        <v>10.0</v>
      </c>
      <c r="AJ2" s="2" t="s">
        <v>808</v>
      </c>
      <c r="AK2" s="2">
        <v>100.0</v>
      </c>
      <c r="AL2" s="2" t="s">
        <v>797</v>
      </c>
      <c r="AM2" s="2" t="s">
        <v>798</v>
      </c>
      <c r="AN2" s="2" t="s">
        <v>809</v>
      </c>
      <c r="AO2" s="2" t="s">
        <v>795</v>
      </c>
      <c r="AP2" s="2" t="s">
        <v>796</v>
      </c>
      <c r="AQ2" s="2">
        <v>10.0</v>
      </c>
      <c r="AR2" s="2" t="s">
        <v>808</v>
      </c>
      <c r="AS2" s="2">
        <v>100.0</v>
      </c>
      <c r="AT2" s="2" t="s">
        <v>797</v>
      </c>
      <c r="AU2" s="2" t="s">
        <v>798</v>
      </c>
      <c r="AV2" s="2" t="s">
        <v>809</v>
      </c>
      <c r="AW2" s="2" t="s">
        <v>795</v>
      </c>
      <c r="AX2" s="2" t="s">
        <v>796</v>
      </c>
      <c r="AY2" s="2">
        <v>10.0</v>
      </c>
      <c r="AZ2" s="2" t="s">
        <v>808</v>
      </c>
      <c r="BA2" s="2">
        <v>100.0</v>
      </c>
      <c r="BB2" s="2" t="s">
        <v>797</v>
      </c>
      <c r="BC2" s="2" t="s">
        <v>798</v>
      </c>
      <c r="BD2" s="2" t="s">
        <v>809</v>
      </c>
      <c r="BE2" s="2" t="s">
        <v>814</v>
      </c>
      <c r="BF2" s="2" t="s">
        <v>815</v>
      </c>
      <c r="BG2" s="1">
        <v>-7654288</v>
      </c>
      <c r="BI2" s="2" t="s">
        <v>816</v>
      </c>
      <c r="BJ2" s="3" t="s">
        <v>817</v>
      </c>
      <c r="BK2" s="2" t="s">
        <v>818</v>
      </c>
      <c r="BL2" s="2" t="s">
        <v>109</v>
      </c>
      <c r="BM2" s="2" t="s">
        <v>819</v>
      </c>
      <c r="BN2" s="2">
        <v>101.0</v>
      </c>
      <c r="BO2" s="2" t="s">
        <v>797</v>
      </c>
      <c r="BP2" s="2" t="s">
        <v>820</v>
      </c>
      <c r="BQ2" s="2" t="s">
        <v>804</v>
      </c>
      <c r="BR2" s="2" t="s">
        <v>821</v>
      </c>
      <c r="BS2" s="2" t="s">
        <v>822</v>
      </c>
      <c r="BT2" s="2" t="s">
        <v>823</v>
      </c>
      <c r="BV2" s="2" t="s">
        <v>824</v>
      </c>
      <c r="BW2" s="1">
        <v>-1234535</v>
      </c>
      <c r="BX2" s="1">
        <v>-1234861</v>
      </c>
      <c r="BZ2" s="2" t="s">
        <v>825</v>
      </c>
      <c r="CA2" s="2">
        <v>130.0</v>
      </c>
    </row>
    <row r="3">
      <c r="A3" s="2" t="s">
        <v>826</v>
      </c>
      <c r="B3" s="2" t="s">
        <v>827</v>
      </c>
      <c r="C3" s="2" t="s">
        <v>828</v>
      </c>
      <c r="D3" s="2">
        <v>5.0</v>
      </c>
      <c r="E3" s="2">
        <v>20121.0</v>
      </c>
      <c r="F3" s="2" t="s">
        <v>829</v>
      </c>
      <c r="G3" s="2" t="s">
        <v>798</v>
      </c>
      <c r="H3" s="2" t="s">
        <v>93</v>
      </c>
      <c r="I3" s="2" t="s">
        <v>830</v>
      </c>
      <c r="J3" s="2" t="s">
        <v>831</v>
      </c>
      <c r="K3" s="2" t="s">
        <v>832</v>
      </c>
      <c r="L3" s="2" t="s">
        <v>833</v>
      </c>
      <c r="M3" s="3" t="s">
        <v>834</v>
      </c>
      <c r="N3" s="2" t="s">
        <v>128</v>
      </c>
      <c r="O3" s="1">
        <v>-1234530</v>
      </c>
      <c r="Q3" s="2" t="s">
        <v>835</v>
      </c>
      <c r="R3" s="2" t="s">
        <v>836</v>
      </c>
      <c r="S3" s="2" t="s">
        <v>805</v>
      </c>
      <c r="T3" s="2" t="s">
        <v>837</v>
      </c>
      <c r="U3" s="2">
        <v>141300.0</v>
      </c>
      <c r="V3" s="2" t="s">
        <v>838</v>
      </c>
      <c r="W3" s="2" t="s">
        <v>839</v>
      </c>
      <c r="X3" s="2" t="s">
        <v>840</v>
      </c>
      <c r="Y3" s="2" t="s">
        <v>98</v>
      </c>
      <c r="Z3" s="2" t="s">
        <v>136</v>
      </c>
      <c r="AA3" s="2" t="s">
        <v>805</v>
      </c>
      <c r="AB3" s="2" t="s">
        <v>841</v>
      </c>
      <c r="AC3" s="2" t="s">
        <v>842</v>
      </c>
      <c r="AD3" s="2" t="s">
        <v>843</v>
      </c>
      <c r="AE3" s="2" t="s">
        <v>844</v>
      </c>
      <c r="AF3" s="2" t="s">
        <v>141</v>
      </c>
      <c r="AG3" s="2" t="s">
        <v>827</v>
      </c>
      <c r="AH3" s="2" t="s">
        <v>828</v>
      </c>
      <c r="AI3" s="2">
        <v>5.0</v>
      </c>
      <c r="AJ3" s="2" t="s">
        <v>839</v>
      </c>
      <c r="AK3" s="2">
        <v>20121.0</v>
      </c>
      <c r="AL3" s="2" t="s">
        <v>829</v>
      </c>
      <c r="AM3" s="2" t="s">
        <v>798</v>
      </c>
      <c r="AN3" s="2" t="s">
        <v>840</v>
      </c>
      <c r="AO3" s="2" t="s">
        <v>827</v>
      </c>
      <c r="AP3" s="2" t="s">
        <v>828</v>
      </c>
      <c r="AQ3" s="2">
        <v>5.0</v>
      </c>
      <c r="AR3" s="2" t="s">
        <v>839</v>
      </c>
      <c r="AS3" s="2">
        <v>20121.0</v>
      </c>
      <c r="AT3" s="2" t="s">
        <v>829</v>
      </c>
      <c r="AU3" s="2" t="s">
        <v>798</v>
      </c>
      <c r="AV3" s="2" t="s">
        <v>840</v>
      </c>
      <c r="AW3" s="2" t="s">
        <v>827</v>
      </c>
      <c r="AX3" s="2" t="s">
        <v>828</v>
      </c>
      <c r="AY3" s="2">
        <v>5.0</v>
      </c>
      <c r="AZ3" s="2" t="s">
        <v>839</v>
      </c>
      <c r="BA3" s="2">
        <v>20121.0</v>
      </c>
      <c r="BB3" s="2" t="s">
        <v>829</v>
      </c>
      <c r="BC3" s="2" t="s">
        <v>798</v>
      </c>
      <c r="BD3" s="2" t="s">
        <v>840</v>
      </c>
      <c r="BE3" s="2" t="s">
        <v>845</v>
      </c>
      <c r="BF3" s="2" t="s">
        <v>846</v>
      </c>
      <c r="BG3" s="1">
        <v>-7654284</v>
      </c>
      <c r="BI3" s="2" t="s">
        <v>847</v>
      </c>
      <c r="BJ3" s="3" t="s">
        <v>848</v>
      </c>
      <c r="BK3" s="2" t="s">
        <v>849</v>
      </c>
      <c r="BL3" s="2" t="s">
        <v>850</v>
      </c>
      <c r="BM3" s="2" t="s">
        <v>851</v>
      </c>
      <c r="BN3" s="2">
        <v>20122.0</v>
      </c>
      <c r="BO3" s="2" t="s">
        <v>829</v>
      </c>
      <c r="BP3" s="2" t="s">
        <v>852</v>
      </c>
      <c r="BQ3" s="2" t="s">
        <v>836</v>
      </c>
      <c r="BR3" s="2" t="s">
        <v>853</v>
      </c>
      <c r="BS3" s="2" t="s">
        <v>854</v>
      </c>
      <c r="BT3" s="2" t="s">
        <v>855</v>
      </c>
      <c r="BV3" s="2" t="s">
        <v>856</v>
      </c>
      <c r="BW3" s="1">
        <v>-1234531</v>
      </c>
      <c r="BX3" s="1">
        <v>-7654622</v>
      </c>
      <c r="BZ3" s="2" t="s">
        <v>857</v>
      </c>
      <c r="CA3" s="2">
        <v>140.0</v>
      </c>
    </row>
  </sheetData>
  <hyperlinks>
    <hyperlink r:id="rId2" ref="M2"/>
    <hyperlink r:id="rId3" ref="BJ2"/>
    <hyperlink r:id="rId4" ref="M3"/>
    <hyperlink r:id="rId5" ref="BJ3"/>
  </hyperlinks>
  <drawing r:id="rId6"/>
  <legacyDrawing r:id="rId7"/>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2">
      <c r="B2" s="2" t="s">
        <v>83</v>
      </c>
      <c r="C2" s="2" t="s">
        <v>83</v>
      </c>
      <c r="D2" s="2" t="s">
        <v>233</v>
      </c>
      <c r="E2" s="2" t="s">
        <v>233</v>
      </c>
      <c r="F2" s="2" t="s">
        <v>378</v>
      </c>
      <c r="G2" s="2" t="s">
        <v>378</v>
      </c>
      <c r="H2" s="2" t="s">
        <v>518</v>
      </c>
      <c r="I2" s="2" t="s">
        <v>518</v>
      </c>
      <c r="J2" s="2" t="s">
        <v>93</v>
      </c>
      <c r="K2" s="2" t="s">
        <v>93</v>
      </c>
      <c r="L2" s="2" t="s">
        <v>658</v>
      </c>
      <c r="M2" s="2" t="s">
        <v>658</v>
      </c>
    </row>
    <row r="3">
      <c r="B3" s="4" t="s">
        <v>858</v>
      </c>
      <c r="C3" s="4" t="s">
        <v>859</v>
      </c>
      <c r="D3" s="4" t="s">
        <v>860</v>
      </c>
      <c r="E3" s="4" t="s">
        <v>861</v>
      </c>
      <c r="F3" s="4" t="s">
        <v>862</v>
      </c>
      <c r="G3" s="4" t="s">
        <v>863</v>
      </c>
      <c r="H3" s="4" t="s">
        <v>858</v>
      </c>
      <c r="I3" s="4" t="s">
        <v>864</v>
      </c>
      <c r="J3" s="4" t="s">
        <v>865</v>
      </c>
      <c r="K3" s="4" t="s">
        <v>866</v>
      </c>
      <c r="L3" s="4" t="s">
        <v>865</v>
      </c>
      <c r="M3" s="4" t="s">
        <v>867</v>
      </c>
    </row>
    <row r="4">
      <c r="B4" s="5" t="s">
        <v>10</v>
      </c>
      <c r="C4" s="5" t="s">
        <v>868</v>
      </c>
      <c r="D4" s="5" t="s">
        <v>165</v>
      </c>
      <c r="E4" s="5" t="s">
        <v>869</v>
      </c>
      <c r="F4" s="5" t="s">
        <v>870</v>
      </c>
      <c r="G4" s="5" t="s">
        <v>871</v>
      </c>
      <c r="H4" s="5" t="s">
        <v>449</v>
      </c>
      <c r="I4" s="5" t="s">
        <v>872</v>
      </c>
      <c r="J4" s="5" t="s">
        <v>873</v>
      </c>
      <c r="K4" s="5" t="s">
        <v>874</v>
      </c>
      <c r="L4" s="5" t="s">
        <v>875</v>
      </c>
      <c r="M4" s="5" t="s">
        <v>876</v>
      </c>
    </row>
    <row r="5">
      <c r="B5" s="5" t="s">
        <v>11</v>
      </c>
      <c r="C5" s="6" t="s">
        <v>877</v>
      </c>
      <c r="D5" s="5" t="s">
        <v>11</v>
      </c>
      <c r="E5" s="6" t="s">
        <v>878</v>
      </c>
      <c r="F5" s="5" t="s">
        <v>879</v>
      </c>
      <c r="G5" s="5" t="s">
        <v>880</v>
      </c>
      <c r="H5" s="5" t="s">
        <v>11</v>
      </c>
      <c r="I5" s="5" t="s">
        <v>881</v>
      </c>
      <c r="J5" s="5" t="s">
        <v>730</v>
      </c>
      <c r="K5" s="5" t="s">
        <v>882</v>
      </c>
      <c r="L5" s="5" t="s">
        <v>589</v>
      </c>
      <c r="M5" s="6" t="s">
        <v>883</v>
      </c>
    </row>
    <row r="6">
      <c r="B6" s="5" t="s">
        <v>13</v>
      </c>
      <c r="C6" s="5" t="s">
        <v>884</v>
      </c>
      <c r="D6" s="5" t="s">
        <v>167</v>
      </c>
      <c r="E6" s="5" t="s">
        <v>885</v>
      </c>
      <c r="F6" s="5" t="s">
        <v>311</v>
      </c>
      <c r="G6" s="5" t="s">
        <v>886</v>
      </c>
      <c r="H6" s="5" t="s">
        <v>452</v>
      </c>
      <c r="I6" s="5" t="s">
        <v>887</v>
      </c>
      <c r="J6" s="5" t="s">
        <v>732</v>
      </c>
      <c r="K6" s="5" t="s">
        <v>888</v>
      </c>
      <c r="L6" s="5" t="s">
        <v>591</v>
      </c>
      <c r="M6" s="5" t="s">
        <v>889</v>
      </c>
    </row>
    <row r="7">
      <c r="B7" s="5" t="s">
        <v>14</v>
      </c>
      <c r="C7" s="5" t="s">
        <v>890</v>
      </c>
      <c r="D7" s="5" t="s">
        <v>14</v>
      </c>
      <c r="E7" s="5" t="s">
        <v>891</v>
      </c>
      <c r="F7" s="5" t="s">
        <v>14</v>
      </c>
      <c r="G7" s="5" t="s">
        <v>892</v>
      </c>
      <c r="H7" s="5" t="s">
        <v>14</v>
      </c>
      <c r="I7" s="5" t="s">
        <v>893</v>
      </c>
      <c r="J7" s="5" t="s">
        <v>14</v>
      </c>
      <c r="K7" s="5" t="s">
        <v>894</v>
      </c>
      <c r="L7" s="5" t="s">
        <v>14</v>
      </c>
      <c r="M7" s="5" t="s">
        <v>895</v>
      </c>
    </row>
    <row r="8">
      <c r="B8" s="5" t="s">
        <v>15</v>
      </c>
      <c r="C8" s="5" t="s">
        <v>896</v>
      </c>
      <c r="D8" s="5" t="s">
        <v>15</v>
      </c>
      <c r="E8" s="5" t="s">
        <v>897</v>
      </c>
      <c r="F8" s="5" t="s">
        <v>15</v>
      </c>
      <c r="G8" s="5" t="s">
        <v>898</v>
      </c>
      <c r="H8" s="5" t="s">
        <v>899</v>
      </c>
      <c r="I8" s="5" t="s">
        <v>900</v>
      </c>
      <c r="J8" s="5" t="s">
        <v>901</v>
      </c>
      <c r="K8" s="5" t="s">
        <v>902</v>
      </c>
      <c r="L8" s="5" t="s">
        <v>592</v>
      </c>
      <c r="M8" s="5" t="s">
        <v>903</v>
      </c>
    </row>
    <row r="9">
      <c r="B9" s="5" t="s">
        <v>5</v>
      </c>
      <c r="C9" s="6" t="s">
        <v>904</v>
      </c>
      <c r="D9" s="5" t="s">
        <v>160</v>
      </c>
      <c r="E9" s="6" t="s">
        <v>905</v>
      </c>
      <c r="F9" s="5" t="s">
        <v>303</v>
      </c>
      <c r="G9" s="6" t="s">
        <v>906</v>
      </c>
      <c r="H9" s="5" t="s">
        <v>160</v>
      </c>
      <c r="I9" s="6" t="s">
        <v>907</v>
      </c>
      <c r="J9" s="5" t="s">
        <v>724</v>
      </c>
      <c r="K9" s="6" t="s">
        <v>908</v>
      </c>
      <c r="L9" s="5" t="s">
        <v>583</v>
      </c>
      <c r="M9" s="6" t="s">
        <v>909</v>
      </c>
    </row>
    <row r="10">
      <c r="B10" s="5" t="s">
        <v>6</v>
      </c>
      <c r="C10" s="6" t="s">
        <v>910</v>
      </c>
      <c r="D10" s="5" t="s">
        <v>161</v>
      </c>
      <c r="E10" s="6" t="s">
        <v>911</v>
      </c>
      <c r="F10" s="5" t="s">
        <v>304</v>
      </c>
      <c r="G10" s="6" t="s">
        <v>912</v>
      </c>
      <c r="H10" s="5" t="s">
        <v>445</v>
      </c>
      <c r="I10" s="6" t="s">
        <v>913</v>
      </c>
      <c r="J10" s="5" t="s">
        <v>725</v>
      </c>
      <c r="K10" s="6" t="s">
        <v>914</v>
      </c>
      <c r="L10" s="5" t="s">
        <v>584</v>
      </c>
      <c r="M10" s="6" t="s">
        <v>915</v>
      </c>
    </row>
    <row r="11">
      <c r="B11" s="5" t="s">
        <v>26</v>
      </c>
      <c r="C11" s="7" t="s">
        <v>916</v>
      </c>
      <c r="D11" s="5" t="s">
        <v>917</v>
      </c>
      <c r="E11" s="7" t="s">
        <v>918</v>
      </c>
      <c r="F11" s="5" t="s">
        <v>919</v>
      </c>
      <c r="G11" s="7" t="s">
        <v>920</v>
      </c>
      <c r="H11" s="5" t="s">
        <v>463</v>
      </c>
      <c r="I11" s="7" t="s">
        <v>921</v>
      </c>
      <c r="J11" s="5" t="s">
        <v>743</v>
      </c>
      <c r="K11" s="7" t="s">
        <v>922</v>
      </c>
      <c r="L11" s="5" t="s">
        <v>923</v>
      </c>
      <c r="M11" s="7" t="s">
        <v>924</v>
      </c>
    </row>
    <row r="12">
      <c r="B12" s="5" t="s">
        <v>23</v>
      </c>
      <c r="C12" s="5" t="s">
        <v>925</v>
      </c>
      <c r="D12" s="5" t="s">
        <v>926</v>
      </c>
      <c r="E12" s="5" t="s">
        <v>927</v>
      </c>
      <c r="F12" s="5" t="s">
        <v>928</v>
      </c>
      <c r="G12" s="5" t="s">
        <v>929</v>
      </c>
      <c r="H12" s="5" t="s">
        <v>460</v>
      </c>
      <c r="I12" s="5" t="s">
        <v>930</v>
      </c>
      <c r="J12" s="5" t="s">
        <v>931</v>
      </c>
      <c r="K12" s="5" t="s">
        <v>932</v>
      </c>
      <c r="L12" s="5" t="s">
        <v>933</v>
      </c>
      <c r="M12" s="5" t="s">
        <v>934</v>
      </c>
    </row>
    <row r="13">
      <c r="B13" s="5" t="s">
        <v>30</v>
      </c>
      <c r="C13" s="5" t="s">
        <v>935</v>
      </c>
      <c r="D13" s="5" t="s">
        <v>936</v>
      </c>
      <c r="E13" s="5" t="s">
        <v>937</v>
      </c>
      <c r="F13" s="5" t="s">
        <v>938</v>
      </c>
      <c r="G13" s="5" t="s">
        <v>939</v>
      </c>
      <c r="H13" s="5" t="s">
        <v>940</v>
      </c>
      <c r="I13" s="5" t="s">
        <v>941</v>
      </c>
      <c r="J13" s="5" t="s">
        <v>942</v>
      </c>
      <c r="K13" s="5" t="s">
        <v>943</v>
      </c>
      <c r="L13" s="5" t="s">
        <v>944</v>
      </c>
      <c r="M13" s="5" t="s">
        <v>945</v>
      </c>
    </row>
    <row r="14">
      <c r="B14" s="5" t="s">
        <v>17</v>
      </c>
      <c r="C14" s="6" t="s">
        <v>946</v>
      </c>
      <c r="D14" s="5" t="s">
        <v>169</v>
      </c>
      <c r="E14" s="6" t="s">
        <v>947</v>
      </c>
      <c r="F14" s="5" t="s">
        <v>314</v>
      </c>
      <c r="G14" s="6" t="s">
        <v>948</v>
      </c>
      <c r="H14" s="5" t="s">
        <v>454</v>
      </c>
      <c r="I14" s="8" t="s">
        <v>949</v>
      </c>
      <c r="J14" s="5" t="s">
        <v>735</v>
      </c>
      <c r="K14" s="7" t="s">
        <v>950</v>
      </c>
      <c r="L14" s="5" t="s">
        <v>594</v>
      </c>
      <c r="M14" s="7" t="s">
        <v>951</v>
      </c>
    </row>
    <row r="15">
      <c r="B15" s="5" t="s">
        <v>16</v>
      </c>
      <c r="C15" s="5" t="s">
        <v>952</v>
      </c>
      <c r="D15" s="5" t="s">
        <v>168</v>
      </c>
      <c r="E15" s="5" t="s">
        <v>953</v>
      </c>
      <c r="F15" s="5" t="s">
        <v>313</v>
      </c>
      <c r="G15" s="5" t="s">
        <v>954</v>
      </c>
      <c r="H15" s="5" t="s">
        <v>955</v>
      </c>
      <c r="I15" s="5" t="s">
        <v>956</v>
      </c>
      <c r="J15" s="5" t="s">
        <v>957</v>
      </c>
      <c r="K15" s="5" t="s">
        <v>958</v>
      </c>
      <c r="L15" s="5" t="s">
        <v>959</v>
      </c>
      <c r="M15" s="5" t="s">
        <v>960</v>
      </c>
    </row>
    <row r="16">
      <c r="B16" s="5" t="s">
        <v>25</v>
      </c>
      <c r="C16" s="5" t="s">
        <v>961</v>
      </c>
      <c r="D16" s="5" t="s">
        <v>962</v>
      </c>
      <c r="E16" s="5" t="s">
        <v>963</v>
      </c>
      <c r="F16" s="5" t="s">
        <v>964</v>
      </c>
      <c r="G16" s="5" t="s">
        <v>965</v>
      </c>
      <c r="H16" s="5" t="s">
        <v>966</v>
      </c>
      <c r="I16" s="5" t="s">
        <v>967</v>
      </c>
      <c r="J16" s="5" t="s">
        <v>968</v>
      </c>
      <c r="K16" s="5" t="s">
        <v>969</v>
      </c>
      <c r="L16" s="5" t="s">
        <v>970</v>
      </c>
      <c r="M16" s="5" t="s">
        <v>971</v>
      </c>
    </row>
    <row r="17">
      <c r="B17" s="5" t="s">
        <v>18</v>
      </c>
      <c r="C17" s="6" t="s">
        <v>972</v>
      </c>
      <c r="D17" s="5" t="s">
        <v>18</v>
      </c>
      <c r="E17" s="6" t="s">
        <v>973</v>
      </c>
      <c r="F17" s="5" t="s">
        <v>315</v>
      </c>
      <c r="G17" s="5" t="s">
        <v>974</v>
      </c>
      <c r="H17" s="5" t="s">
        <v>455</v>
      </c>
      <c r="I17" s="6" t="s">
        <v>975</v>
      </c>
      <c r="J17" s="5" t="s">
        <v>736</v>
      </c>
      <c r="K17" s="5" t="s">
        <v>976</v>
      </c>
      <c r="L17" s="5" t="s">
        <v>18</v>
      </c>
      <c r="M17" s="5" t="s">
        <v>977</v>
      </c>
    </row>
    <row r="18">
      <c r="B18" s="5" t="s">
        <v>978</v>
      </c>
      <c r="C18" s="5" t="s">
        <v>979</v>
      </c>
      <c r="D18" s="5" t="s">
        <v>980</v>
      </c>
      <c r="E18" s="5" t="s">
        <v>981</v>
      </c>
      <c r="F18" s="5" t="s">
        <v>982</v>
      </c>
      <c r="G18" s="5" t="s">
        <v>983</v>
      </c>
      <c r="H18" s="5" t="s">
        <v>984</v>
      </c>
      <c r="I18" s="5" t="s">
        <v>985</v>
      </c>
      <c r="J18" s="5" t="s">
        <v>986</v>
      </c>
      <c r="K18" s="5" t="s">
        <v>987</v>
      </c>
      <c r="L18" s="5" t="s">
        <v>988</v>
      </c>
      <c r="M18" s="5" t="s">
        <v>989</v>
      </c>
    </row>
    <row r="19">
      <c r="B19" s="5" t="s">
        <v>990</v>
      </c>
      <c r="C19" s="5" t="s">
        <v>991</v>
      </c>
      <c r="D19" s="5" t="s">
        <v>992</v>
      </c>
      <c r="E19" s="5" t="s">
        <v>993</v>
      </c>
      <c r="F19" s="5" t="s">
        <v>994</v>
      </c>
      <c r="G19" s="5" t="s">
        <v>995</v>
      </c>
      <c r="H19" s="5" t="s">
        <v>996</v>
      </c>
      <c r="I19" s="5" t="s">
        <v>997</v>
      </c>
      <c r="J19" s="5" t="s">
        <v>998</v>
      </c>
      <c r="K19" s="5" t="s">
        <v>999</v>
      </c>
      <c r="L19" s="5" t="s">
        <v>1000</v>
      </c>
      <c r="M19" s="5" t="s">
        <v>1001</v>
      </c>
    </row>
  </sheetData>
  <hyperlinks>
    <hyperlink r:id="rId1" ref="C5"/>
    <hyperlink r:id="rId2" ref="E5"/>
    <hyperlink r:id="rId3" ref="M5"/>
    <hyperlink r:id="rId4" ref="C9"/>
    <hyperlink r:id="rId5" ref="E9"/>
    <hyperlink r:id="rId6" ref="G9"/>
    <hyperlink r:id="rId7" ref="I9"/>
    <hyperlink r:id="rId8" ref="K9"/>
    <hyperlink r:id="rId9" ref="M9"/>
    <hyperlink r:id="rId10" ref="C10"/>
    <hyperlink r:id="rId11" ref="E10"/>
    <hyperlink r:id="rId12" ref="G10"/>
    <hyperlink r:id="rId13" ref="I10"/>
    <hyperlink r:id="rId14" ref="K10"/>
    <hyperlink r:id="rId15" ref="M10"/>
    <hyperlink r:id="rId16" ref="C11"/>
    <hyperlink r:id="rId17" ref="E11"/>
    <hyperlink r:id="rId18" ref="G11"/>
    <hyperlink r:id="rId19" ref="I11"/>
    <hyperlink r:id="rId20" ref="K11"/>
    <hyperlink r:id="rId21" ref="M11"/>
    <hyperlink r:id="rId22" ref="C14"/>
    <hyperlink r:id="rId23" ref="E14"/>
    <hyperlink r:id="rId24" ref="G14"/>
    <hyperlink r:id="rId25" ref="I14"/>
    <hyperlink r:id="rId26" ref="K14"/>
    <hyperlink r:id="rId27" ref="M14"/>
    <hyperlink r:id="rId28" ref="C17"/>
    <hyperlink r:id="rId29" ref="E17"/>
    <hyperlink r:id="rId30" ref="I17"/>
  </hyperlinks>
  <drawing r:id="rId3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B1" s="2" t="s">
        <v>83</v>
      </c>
      <c r="C1" s="2" t="s">
        <v>1002</v>
      </c>
      <c r="D1" s="2" t="s">
        <v>378</v>
      </c>
      <c r="E1" s="2" t="s">
        <v>1003</v>
      </c>
      <c r="F1" s="2" t="s">
        <v>658</v>
      </c>
      <c r="G1" s="2" t="s">
        <v>93</v>
      </c>
    </row>
    <row r="2">
      <c r="A2" s="9"/>
      <c r="B2" s="10" t="s">
        <v>1004</v>
      </c>
      <c r="C2" s="1" t="str">
        <f>IFERROR(__xludf.DUMMYFUNCTION("GOOGLETRANSLATE($B2,""en"",""nl"")"),"Teamleider-ID")</f>
        <v>Teamleider-ID</v>
      </c>
      <c r="D2" s="1" t="str">
        <f>IFERROR(__xludf.DUMMYFUNCTION("GOOGLETRANSLATE($B2,""en"",""fr"")"),"ID du chef d'équipe")</f>
        <v>ID du chef d'équipe</v>
      </c>
      <c r="E2" s="1" t="str">
        <f>IFERROR(__xludf.DUMMYFUNCTION("GOOGLETRANSLATE($B2,""en"",""de"")"),"Teamleiter-ID")</f>
        <v>Teamleiter-ID</v>
      </c>
      <c r="F2" s="1" t="str">
        <f>IFERROR(__xludf.DUMMYFUNCTION("GOOGLETRANSLATE($B2,""en"",""es"")"),"ID del jefe de equipo")</f>
        <v>ID del jefe de equipo</v>
      </c>
      <c r="G2" s="1" t="str">
        <f>IFERROR(__xludf.DUMMYFUNCTION("GOOGLETRANSLATE($B2,""en"",""it"")"),"ID del caposquadra")</f>
        <v>ID del caposquadra</v>
      </c>
    </row>
    <row r="3">
      <c r="A3" s="11" t="s">
        <v>1005</v>
      </c>
      <c r="B3" s="12" t="s">
        <v>0</v>
      </c>
      <c r="C3" s="1" t="str">
        <f>IFERROR(__xludf.DUMMYFUNCTION("GOOGLETRANSLATE($B3,""en"",""nl"")"),"Naam")</f>
        <v>Naam</v>
      </c>
      <c r="D3" s="1" t="str">
        <f>IFERROR(__xludf.DUMMYFUNCTION("GOOGLETRANSLATE($B3,""en"",""fr"")"),"Nom")</f>
        <v>Nom</v>
      </c>
      <c r="E3" s="1" t="str">
        <f>IFERROR(__xludf.DUMMYFUNCTION("GOOGLETRANSLATE($B3,""en"",""de"")"),"Name")</f>
        <v>Name</v>
      </c>
      <c r="F3" s="1" t="str">
        <f>IFERROR(__xludf.DUMMYFUNCTION("GOOGLETRANSLATE($B3,""en"",""es"")"),"Nombre")</f>
        <v>Nombre</v>
      </c>
      <c r="G3" s="1" t="str">
        <f>IFERROR(__xludf.DUMMYFUNCTION("GOOGLETRANSLATE($B3,""en"",""it"")"),"Nome")</f>
        <v>Nome</v>
      </c>
    </row>
    <row r="4">
      <c r="A4" s="9"/>
      <c r="B4" s="12" t="s">
        <v>1</v>
      </c>
      <c r="C4" s="1" t="str">
        <f>IFERROR(__xludf.DUMMYFUNCTION("GOOGLETRANSLATE($B4,""en"",""nl"")"),"Straat")</f>
        <v>Straat</v>
      </c>
      <c r="D4" s="1" t="str">
        <f>IFERROR(__xludf.DUMMYFUNCTION("GOOGLETRANSLATE($B4,""en"",""fr"")"),"Rue")</f>
        <v>Rue</v>
      </c>
      <c r="E4" s="1" t="str">
        <f>IFERROR(__xludf.DUMMYFUNCTION("GOOGLETRANSLATE($B4,""en"",""de"")"),"Straße")</f>
        <v>Straße</v>
      </c>
      <c r="F4" s="1" t="str">
        <f>IFERROR(__xludf.DUMMYFUNCTION("GOOGLETRANSLATE($B4,""en"",""es"")"),"Calle")</f>
        <v>Calle</v>
      </c>
      <c r="G4" s="1" t="str">
        <f>IFERROR(__xludf.DUMMYFUNCTION("GOOGLETRANSLATE($B4,""en"",""it"")"),"Strada")</f>
        <v>Strada</v>
      </c>
    </row>
    <row r="5">
      <c r="A5" s="9"/>
      <c r="B5" s="12" t="s">
        <v>2</v>
      </c>
      <c r="C5" s="1" t="str">
        <f>IFERROR(__xludf.DUMMYFUNCTION("GOOGLETRANSLATE($B5,""en"",""nl"")"),"Nummer")</f>
        <v>Nummer</v>
      </c>
      <c r="D5" s="1" t="str">
        <f>IFERROR(__xludf.DUMMYFUNCTION("GOOGLETRANSLATE($B5,""en"",""fr"")"),"Nombre")</f>
        <v>Nombre</v>
      </c>
      <c r="E5" s="1" t="str">
        <f>IFERROR(__xludf.DUMMYFUNCTION("GOOGLETRANSLATE($B5,""en"",""de"")"),"Nummer")</f>
        <v>Nummer</v>
      </c>
      <c r="F5" s="1" t="str">
        <f>IFERROR(__xludf.DUMMYFUNCTION("GOOGLETRANSLATE($B5,""en"",""es"")"),"Número")</f>
        <v>Número</v>
      </c>
      <c r="G5" s="1" t="str">
        <f>IFERROR(__xludf.DUMMYFUNCTION("GOOGLETRANSLATE($B5,""en"",""it"")"),"Numero")</f>
        <v>Numero</v>
      </c>
    </row>
    <row r="6">
      <c r="A6" s="9"/>
      <c r="B6" s="12" t="s">
        <v>3</v>
      </c>
      <c r="C6" s="1" t="str">
        <f>IFERROR(__xludf.DUMMYFUNCTION("GOOGLETRANSLATE($B6,""en"",""nl"")"),"Postcode")</f>
        <v>Postcode</v>
      </c>
      <c r="D6" s="1" t="str">
        <f>IFERROR(__xludf.DUMMYFUNCTION("GOOGLETRANSLATE($B6,""en"",""fr"")"),"Code postal")</f>
        <v>Code postal</v>
      </c>
      <c r="E6" s="1" t="str">
        <f>IFERROR(__xludf.DUMMYFUNCTION("GOOGLETRANSLATE($B6,""en"",""de"")"),"PLZ")</f>
        <v>PLZ</v>
      </c>
      <c r="F6" s="1" t="str">
        <f>IFERROR(__xludf.DUMMYFUNCTION("GOOGLETRANSLATE($B6,""en"",""es"")"),"Código postal")</f>
        <v>Código postal</v>
      </c>
      <c r="G6" s="1" t="str">
        <f>IFERROR(__xludf.DUMMYFUNCTION("GOOGLETRANSLATE($B6,""en"",""it"")"),"Cap")</f>
        <v>Cap</v>
      </c>
    </row>
    <row r="7">
      <c r="A7" s="9"/>
      <c r="B7" s="12" t="s">
        <v>4</v>
      </c>
      <c r="C7" s="1" t="str">
        <f>IFERROR(__xludf.DUMMYFUNCTION("GOOGLETRANSLATE($B7,""en"",""nl"")"),"Stad")</f>
        <v>Stad</v>
      </c>
      <c r="D7" s="1" t="str">
        <f>IFERROR(__xludf.DUMMYFUNCTION("GOOGLETRANSLATE($B7,""en"",""fr"")"),"Ville")</f>
        <v>Ville</v>
      </c>
      <c r="E7" s="1" t="str">
        <f>IFERROR(__xludf.DUMMYFUNCTION("GOOGLETRANSLATE($B7,""en"",""de"")"),"Stadt")</f>
        <v>Stadt</v>
      </c>
      <c r="F7" s="1" t="str">
        <f>IFERROR(__xludf.DUMMYFUNCTION("GOOGLETRANSLATE($B7,""en"",""es"")"),"Ciudad")</f>
        <v>Ciudad</v>
      </c>
      <c r="G7" s="1" t="str">
        <f>IFERROR(__xludf.DUMMYFUNCTION("GOOGLETRANSLATE($B7,""en"",""it"")"),"Città")</f>
        <v>Città</v>
      </c>
    </row>
    <row r="8">
      <c r="A8" s="9"/>
      <c r="B8" s="12" t="s">
        <v>5</v>
      </c>
      <c r="C8" s="1" t="str">
        <f>IFERROR(__xludf.DUMMYFUNCTION("GOOGLETRANSLATE($B8,""en"",""nl"")"),"Land")</f>
        <v>Land</v>
      </c>
      <c r="D8" s="1" t="str">
        <f>IFERROR(__xludf.DUMMYFUNCTION("GOOGLETRANSLATE($B8,""en"",""fr"")"),"Pays")</f>
        <v>Pays</v>
      </c>
      <c r="E8" s="1" t="str">
        <f>IFERROR(__xludf.DUMMYFUNCTION("GOOGLETRANSLATE($B8,""en"",""de"")"),"Land")</f>
        <v>Land</v>
      </c>
      <c r="F8" s="1" t="str">
        <f>IFERROR(__xludf.DUMMYFUNCTION("GOOGLETRANSLATE($B8,""en"",""es"")"),"País")</f>
        <v>País</v>
      </c>
      <c r="G8" s="1" t="str">
        <f>IFERROR(__xludf.DUMMYFUNCTION("GOOGLETRANSLATE($B8,""en"",""it"")"),"Paese")</f>
        <v>Paese</v>
      </c>
    </row>
    <row r="9">
      <c r="A9" s="9"/>
      <c r="B9" s="12" t="s">
        <v>6</v>
      </c>
      <c r="C9" s="1" t="str">
        <f>IFERROR(__xludf.DUMMYFUNCTION("GOOGLETRANSLATE($B9,""en"",""nl"")"),"Taal")</f>
        <v>Taal</v>
      </c>
      <c r="D9" s="1" t="str">
        <f>IFERROR(__xludf.DUMMYFUNCTION("GOOGLETRANSLATE($B9,""en"",""fr"")"),"Langue")</f>
        <v>Langue</v>
      </c>
      <c r="E9" s="1" t="str">
        <f>IFERROR(__xludf.DUMMYFUNCTION("GOOGLETRANSLATE($B9,""en"",""de"")"),"Sprache")</f>
        <v>Sprache</v>
      </c>
      <c r="F9" s="1" t="str">
        <f>IFERROR(__xludf.DUMMYFUNCTION("GOOGLETRANSLATE($B9,""en"",""es"")"),"Idioma")</f>
        <v>Idioma</v>
      </c>
      <c r="G9" s="1" t="str">
        <f>IFERROR(__xludf.DUMMYFUNCTION("GOOGLETRANSLATE($B9,""en"",""it"")"),"Lingua")</f>
        <v>Lingua</v>
      </c>
    </row>
    <row r="10">
      <c r="A10" s="9"/>
      <c r="B10" s="12" t="s">
        <v>7</v>
      </c>
      <c r="C10" s="1" t="str">
        <f>IFERROR(__xludf.DUMMYFUNCTION("GOOGLETRANSLATE($B10,""en"",""nl"")"),"BTW-nummer")</f>
        <v>BTW-nummer</v>
      </c>
      <c r="D10" s="1" t="str">
        <f>IFERROR(__xludf.DUMMYFUNCTION("GOOGLETRANSLATE($B10,""en"",""fr"")"),"Numéro de TVA")</f>
        <v>Numéro de TVA</v>
      </c>
      <c r="E10" s="1" t="str">
        <f>IFERROR(__xludf.DUMMYFUNCTION("GOOGLETRANSLATE($B10,""en"",""de"")"),"Umsatzsteuer-Identifikationsnummer")</f>
        <v>Umsatzsteuer-Identifikationsnummer</v>
      </c>
      <c r="F10" s="1" t="str">
        <f>IFERROR(__xludf.DUMMYFUNCTION("GOOGLETRANSLATE($B10,""en"",""es"")"),"Número de IVA")</f>
        <v>Número de IVA</v>
      </c>
      <c r="G10" s="1" t="str">
        <f>IFERROR(__xludf.DUMMYFUNCTION("GOOGLETRANSLATE($B10,""en"",""it"")"),"Partita IVA")</f>
        <v>Partita IVA</v>
      </c>
    </row>
    <row r="11">
      <c r="A11" s="9"/>
      <c r="B11" s="13" t="s">
        <v>8</v>
      </c>
      <c r="C11" s="1" t="str">
        <f>IFERROR(__xludf.DUMMYFUNCTION("GOOGLETRANSLATE($B11,""en"",""nl"")"),"E-mailadres voor factuur")</f>
        <v>E-mailadres voor factuur</v>
      </c>
      <c r="D11" s="1" t="str">
        <f>IFERROR(__xludf.DUMMYFUNCTION("GOOGLETRANSLATE($B11,""en"",""fr"")"),"Adresse e-mail de facturation")</f>
        <v>Adresse e-mail de facturation</v>
      </c>
      <c r="E11" s="1" t="str">
        <f>IFERROR(__xludf.DUMMYFUNCTION("GOOGLETRANSLATE($B11,""en"",""de"")"),"E-Mail-Adresse für die Rechnung")</f>
        <v>E-Mail-Adresse für die Rechnung</v>
      </c>
      <c r="F11" s="1" t="str">
        <f>IFERROR(__xludf.DUMMYFUNCTION("GOOGLETRANSLATE($B11,""en"",""es"")"),"Dirección de correo electrónico para la facturación")</f>
        <v>Dirección de correo electrónico para la facturación</v>
      </c>
      <c r="G11" s="1" t="str">
        <f>IFERROR(__xludf.DUMMYFUNCTION("GOOGLETRANSLATE($B11,""en"",""it"")"),"Indirizzo email per la fatturazione")</f>
        <v>Indirizzo email per la fatturazione</v>
      </c>
    </row>
    <row r="12">
      <c r="A12" s="9"/>
      <c r="B12" s="12" t="s">
        <v>9</v>
      </c>
      <c r="C12" s="1" t="str">
        <f>IFERROR(__xludf.DUMMYFUNCTION("GOOGLETRANSLATE($B12,""en"",""nl"")"),"Nationaal identificatienummer")</f>
        <v>Nationaal identificatienummer</v>
      </c>
      <c r="D12" s="1" t="str">
        <f>IFERROR(__xludf.DUMMYFUNCTION("GOOGLETRANSLATE($B12,""en"",""fr"")"),"Numéro d'identification national")</f>
        <v>Numéro d'identification national</v>
      </c>
      <c r="E12" s="1" t="str">
        <f>IFERROR(__xludf.DUMMYFUNCTION("GOOGLETRANSLATE($B12,""en"",""de"")"),"Nationale Identifikationsnummer")</f>
        <v>Nationale Identifikationsnummer</v>
      </c>
      <c r="F12" s="1" t="str">
        <f>IFERROR(__xludf.DUMMYFUNCTION("GOOGLETRANSLATE($B12,""en"",""es"")"),"Número de identificación nacional")</f>
        <v>Número de identificación nacional</v>
      </c>
      <c r="G12" s="1" t="str">
        <f>IFERROR(__xludf.DUMMYFUNCTION("GOOGLETRANSLATE($B12,""en"",""it"")"),"Numero di identificazione nazionale")</f>
        <v>Numero di identificazione nazionale</v>
      </c>
    </row>
    <row r="13">
      <c r="A13" s="9"/>
      <c r="B13" s="12" t="s">
        <v>10</v>
      </c>
      <c r="C13" s="1" t="str">
        <f>IFERROR(__xludf.DUMMYFUNCTION("GOOGLETRANSLATE($B13,""en"",""nl"")"),"E-mailadres")</f>
        <v>E-mailadres</v>
      </c>
      <c r="D13" s="1" t="str">
        <f>IFERROR(__xludf.DUMMYFUNCTION("GOOGLETRANSLATE($B13,""en"",""fr"")"),"Adresse email")</f>
        <v>Adresse email</v>
      </c>
      <c r="E13" s="1" t="str">
        <f>IFERROR(__xludf.DUMMYFUNCTION("GOOGLETRANSLATE($B13,""en"",""de"")"),"E-Mail-Adresse")</f>
        <v>E-Mail-Adresse</v>
      </c>
      <c r="F13" s="1" t="str">
        <f>IFERROR(__xludf.DUMMYFUNCTION("GOOGLETRANSLATE($B13,""en"",""es"")"),"Dirección de correo electrónico")</f>
        <v>Dirección de correo electrónico</v>
      </c>
      <c r="G13" s="1" t="str">
        <f>IFERROR(__xludf.DUMMYFUNCTION("GOOGLETRANSLATE($B13,""en"",""it"")"),"Indirizzo e-mail")</f>
        <v>Indirizzo e-mail</v>
      </c>
    </row>
    <row r="14">
      <c r="A14" s="9"/>
      <c r="B14" s="12" t="s">
        <v>11</v>
      </c>
      <c r="C14" s="1" t="str">
        <f>IFERROR(__xludf.DUMMYFUNCTION("GOOGLETRANSLATE($B14,""en"",""nl"")"),"Website")</f>
        <v>Website</v>
      </c>
      <c r="D14" s="1" t="str">
        <f>IFERROR(__xludf.DUMMYFUNCTION("GOOGLETRANSLATE($B14,""en"",""fr"")"),"Site web")</f>
        <v>Site web</v>
      </c>
      <c r="E14" s="1" t="str">
        <f>IFERROR(__xludf.DUMMYFUNCTION("GOOGLETRANSLATE($B14,""en"",""de"")"),"Webseite")</f>
        <v>Webseite</v>
      </c>
      <c r="F14" s="1" t="str">
        <f>IFERROR(__xludf.DUMMYFUNCTION("GOOGLETRANSLATE($B14,""en"",""es"")"),"Sitio web")</f>
        <v>Sitio web</v>
      </c>
      <c r="G14" s="1" t="str">
        <f>IFERROR(__xludf.DUMMYFUNCTION("GOOGLETRANSLATE($B14,""en"",""it"")"),"Sito web")</f>
        <v>Sito web</v>
      </c>
    </row>
    <row r="15">
      <c r="A15" s="9"/>
      <c r="B15" s="12" t="s">
        <v>12</v>
      </c>
      <c r="C15" s="1" t="str">
        <f>IFERROR(__xludf.DUMMYFUNCTION("GOOGLETRANSLATE($B15,""en"",""nl"")"),"Soort bedrijf")</f>
        <v>Soort bedrijf</v>
      </c>
      <c r="D15" s="1" t="str">
        <f>IFERROR(__xludf.DUMMYFUNCTION("GOOGLETRANSLATE($B15,""en"",""fr"")"),"Type d'entreprise")</f>
        <v>Type d'entreprise</v>
      </c>
      <c r="E15" s="1" t="str">
        <f>IFERROR(__xludf.DUMMYFUNCTION("GOOGLETRANSLATE($B15,""en"",""de"")"),"Art des Geschäfts")</f>
        <v>Art des Geschäfts</v>
      </c>
      <c r="F15" s="1" t="str">
        <f>IFERROR(__xludf.DUMMYFUNCTION("GOOGLETRANSLATE($B15,""en"",""es"")"),"Tipo de asunto")</f>
        <v>Tipo de asunto</v>
      </c>
      <c r="G15" s="1" t="str">
        <f>IFERROR(__xludf.DUMMYFUNCTION("GOOGLETRANSLATE($B15,""en"",""it"")"),"Tipo di attività")</f>
        <v>Tipo di attività</v>
      </c>
    </row>
    <row r="16">
      <c r="A16" s="9"/>
      <c r="B16" s="12" t="s">
        <v>13</v>
      </c>
      <c r="C16" s="1" t="str">
        <f>IFERROR(__xludf.DUMMYFUNCTION("GOOGLETRANSLATE($B16,""en"",""nl"")"),"Telefoon")</f>
        <v>Telefoon</v>
      </c>
      <c r="D16" s="1" t="str">
        <f>IFERROR(__xludf.DUMMYFUNCTION("GOOGLETRANSLATE($B16,""en"",""fr"")"),"Téléphone")</f>
        <v>Téléphone</v>
      </c>
      <c r="E16" s="1" t="str">
        <f>IFERROR(__xludf.DUMMYFUNCTION("GOOGLETRANSLATE($B16,""en"",""de"")"),"Telefon")</f>
        <v>Telefon</v>
      </c>
      <c r="F16" s="1" t="str">
        <f>IFERROR(__xludf.DUMMYFUNCTION("GOOGLETRANSLATE($B16,""en"",""es"")"),"Teléfono")</f>
        <v>Teléfono</v>
      </c>
      <c r="G16" s="1" t="str">
        <f>IFERROR(__xludf.DUMMYFUNCTION("GOOGLETRANSLATE($B16,""en"",""it"")"),"Telefono")</f>
        <v>Telefono</v>
      </c>
    </row>
    <row r="17">
      <c r="A17" s="9"/>
      <c r="B17" s="12" t="s">
        <v>14</v>
      </c>
      <c r="C17" s="1" t="str">
        <f>IFERROR(__xludf.DUMMYFUNCTION("GOOGLETRANSLATE($B17,""en"",""nl"")"),"Fax")</f>
        <v>Fax</v>
      </c>
      <c r="D17" s="1" t="str">
        <f>IFERROR(__xludf.DUMMYFUNCTION("GOOGLETRANSLATE($B17,""en"",""fr"")"),"Fax")</f>
        <v>Fax</v>
      </c>
      <c r="E17" s="1" t="str">
        <f>IFERROR(__xludf.DUMMYFUNCTION("GOOGLETRANSLATE($B17,""en"",""de"")"),"Fax")</f>
        <v>Fax</v>
      </c>
      <c r="F17" s="1" t="str">
        <f>IFERROR(__xludf.DUMMYFUNCTION("GOOGLETRANSLATE($B17,""en"",""es"")"),"Fax")</f>
        <v>Fax</v>
      </c>
      <c r="G17" s="1" t="str">
        <f>IFERROR(__xludf.DUMMYFUNCTION("GOOGLETRANSLATE($B17,""en"",""it"")"),"Fax")</f>
        <v>Fax</v>
      </c>
    </row>
    <row r="18">
      <c r="A18" s="9"/>
      <c r="B18" s="12" t="s">
        <v>15</v>
      </c>
      <c r="C18" s="1" t="str">
        <f>IFERROR(__xludf.DUMMYFUNCTION("GOOGLETRANSLATE($B18,""en"",""nl"")"),"Tags")</f>
        <v>Tags</v>
      </c>
      <c r="D18" s="1" t="str">
        <f>IFERROR(__xludf.DUMMYFUNCTION("GOOGLETRANSLATE($B18,""en"",""fr"")"),"Étiquettes")</f>
        <v>Étiquettes</v>
      </c>
      <c r="E18" s="1" t="str">
        <f>IFERROR(__xludf.DUMMYFUNCTION("GOOGLETRANSLATE($B18,""en"",""de"")"),"Tags")</f>
        <v>Tags</v>
      </c>
      <c r="F18" s="1" t="str">
        <f>IFERROR(__xludf.DUMMYFUNCTION("GOOGLETRANSLATE($B18,""en"",""es"")"),"Etiquetas")</f>
        <v>Etiquetas</v>
      </c>
      <c r="G18" s="1" t="str">
        <f>IFERROR(__xludf.DUMMYFUNCTION("GOOGLETRANSLATE($B18,""en"",""it"")"),"Etichette")</f>
        <v>Etichette</v>
      </c>
    </row>
    <row r="19">
      <c r="A19" s="9"/>
      <c r="B19" s="12" t="s">
        <v>16</v>
      </c>
      <c r="C19" s="1" t="str">
        <f>IFERROR(__xludf.DUMMYFUNCTION("GOOGLETRANSLATE($B19,""en"",""nl"")"),"Accountmanager")</f>
        <v>Accountmanager</v>
      </c>
      <c r="D19" s="1" t="str">
        <f>IFERROR(__xludf.DUMMYFUNCTION("GOOGLETRANSLATE($B19,""en"",""fr"")"),"Gestionnaire de compte")</f>
        <v>Gestionnaire de compte</v>
      </c>
      <c r="E19" s="1" t="str">
        <f>IFERROR(__xludf.DUMMYFUNCTION("GOOGLETRANSLATE($B19,""en"",""de"")"),"Account-Manager")</f>
        <v>Account-Manager</v>
      </c>
      <c r="F19" s="1" t="str">
        <f>IFERROR(__xludf.DUMMYFUNCTION("GOOGLETRANSLATE($B19,""en"",""es"")"),"Gerente de cuentas")</f>
        <v>Gerente de cuentas</v>
      </c>
      <c r="G19" s="1" t="str">
        <f>IFERROR(__xludf.DUMMYFUNCTION("GOOGLETRANSLATE($B19,""en"",""it"")"),"Account Manager")</f>
        <v>Account Manager</v>
      </c>
    </row>
    <row r="20">
      <c r="A20" s="9"/>
      <c r="B20" s="10" t="s">
        <v>17</v>
      </c>
      <c r="C20" s="1" t="str">
        <f>IFERROR(__xludf.DUMMYFUNCTION("GOOGLETRANSLATE($B20,""en"",""nl"")"),"Actief")</f>
        <v>Actief</v>
      </c>
      <c r="D20" s="1" t="str">
        <f>IFERROR(__xludf.DUMMYFUNCTION("GOOGLETRANSLATE($B20,""en"",""fr"")"),"Actif")</f>
        <v>Actif</v>
      </c>
      <c r="E20" s="1" t="str">
        <f>IFERROR(__xludf.DUMMYFUNCTION("GOOGLETRANSLATE($B20,""en"",""de"")"),"Aktiv")</f>
        <v>Aktiv</v>
      </c>
      <c r="F20" s="1" t="str">
        <f>IFERROR(__xludf.DUMMYFUNCTION("GOOGLETRANSLATE($B20,""en"",""es"")"),"Activo")</f>
        <v>Activo</v>
      </c>
      <c r="G20" s="1" t="str">
        <f>IFERROR(__xludf.DUMMYFUNCTION("GOOGLETRANSLATE($B20,""en"",""it"")"),"Attivo")</f>
        <v>Attivo</v>
      </c>
    </row>
    <row r="21">
      <c r="A21" s="9"/>
      <c r="B21" s="12" t="s">
        <v>18</v>
      </c>
      <c r="C21" s="1" t="str">
        <f>IFERROR(__xludf.DUMMYFUNCTION("GOOGLETRANSLATE($B21,""en"",""nl"")"),"Sector")</f>
        <v>Sector</v>
      </c>
      <c r="D21" s="1" t="str">
        <f>IFERROR(__xludf.DUMMYFUNCTION("GOOGLETRANSLATE($B21,""en"",""fr"")"),"Secteur")</f>
        <v>Secteur</v>
      </c>
      <c r="E21" s="1" t="str">
        <f>IFERROR(__xludf.DUMMYFUNCTION("GOOGLETRANSLATE($B21,""en"",""de"")"),"Sektor")</f>
        <v>Sektor</v>
      </c>
      <c r="F21" s="1" t="str">
        <f>IFERROR(__xludf.DUMMYFUNCTION("GOOGLETRANSLATE($B21,""en"",""es"")"),"Sector")</f>
        <v>Sector</v>
      </c>
      <c r="G21" s="1" t="str">
        <f>IFERROR(__xludf.DUMMYFUNCTION("GOOGLETRANSLATE($B21,""en"",""it"")"),"Settore")</f>
        <v>Settore</v>
      </c>
    </row>
    <row r="22">
      <c r="A22" s="9"/>
      <c r="B22" s="12" t="s">
        <v>19</v>
      </c>
      <c r="C22" s="1" t="str">
        <f>IFERROR(__xludf.DUMMYFUNCTION("GOOGLETRANSLATE($B22,""en"",""nl"")"),"APE-code")</f>
        <v>APE-code</v>
      </c>
      <c r="D22" s="1" t="str">
        <f>IFERROR(__xludf.DUMMYFUNCTION("GOOGLETRANSLATE($B22,""en"",""fr"")"),"Code APE")</f>
        <v>Code APE</v>
      </c>
      <c r="E22" s="1" t="str">
        <f>IFERROR(__xludf.DUMMYFUNCTION("GOOGLETRANSLATE($B22,""en"",""de"")"),"APE-Code")</f>
        <v>APE-Code</v>
      </c>
      <c r="F22" s="1" t="str">
        <f>IFERROR(__xludf.DUMMYFUNCTION("GOOGLETRANSLATE($B22,""en"",""es"")"),"Código APE")</f>
        <v>Código APE</v>
      </c>
      <c r="G22" s="1" t="str">
        <f>IFERROR(__xludf.DUMMYFUNCTION("GOOGLETRANSLATE($B22,""en"",""it"")"),"Codice APE")</f>
        <v>Codice APE</v>
      </c>
    </row>
    <row r="23">
      <c r="A23" s="9"/>
      <c r="B23" s="10" t="s">
        <v>20</v>
      </c>
      <c r="C23" s="1" t="str">
        <f>IFERROR(__xludf.DUMMYFUNCTION("GOOGLETRANSLATE($B23,""en"",""nl"")"),"Naam + Soort bedrijf")</f>
        <v>Naam + Soort bedrijf</v>
      </c>
      <c r="D23" s="1" t="str">
        <f>IFERROR(__xludf.DUMMYFUNCTION("GOOGLETRANSLATE($B23,""en"",""fr"")"),"Nom + Type d'entreprise")</f>
        <v>Nom + Type d'entreprise</v>
      </c>
      <c r="E23" s="1" t="str">
        <f>IFERROR(__xludf.DUMMYFUNCTION("GOOGLETRANSLATE($B23,""en"",""de"")"),"Name + Art des Unternehmens")</f>
        <v>Name + Art des Unternehmens</v>
      </c>
      <c r="F23" s="1" t="str">
        <f>IFERROR(__xludf.DUMMYFUNCTION("GOOGLETRANSLATE($B23,""en"",""es"")"),"Nombre + Tipo de negocio")</f>
        <v>Nombre + Tipo de negocio</v>
      </c>
      <c r="G23" s="1" t="str">
        <f>IFERROR(__xludf.DUMMYFUNCTION("GOOGLETRANSLATE($B23,""en"",""it"")"),"Nome + Tipo di attività")</f>
        <v>Nome + Tipo di attività</v>
      </c>
    </row>
    <row r="24">
      <c r="A24" s="9"/>
      <c r="B24" s="10" t="s">
        <v>21</v>
      </c>
      <c r="C24" s="1" t="str">
        <f>IFERROR(__xludf.DUMMYFUNCTION("GOOGLETRANSLATE($B24,""en"",""nl"")"),"Straat + huisnummer")</f>
        <v>Straat + huisnummer</v>
      </c>
      <c r="D24" s="1" t="str">
        <f>IFERROR(__xludf.DUMMYFUNCTION("GOOGLETRANSLATE($B24,""en"",""fr"")"),"Rue + Numéro")</f>
        <v>Rue + Numéro</v>
      </c>
      <c r="E24" s="1" t="str">
        <f>IFERROR(__xludf.DUMMYFUNCTION("GOOGLETRANSLATE($B24,""en"",""de"")"),"Straße + Hausnummer")</f>
        <v>Straße + Hausnummer</v>
      </c>
      <c r="F24" s="1" t="str">
        <f>IFERROR(__xludf.DUMMYFUNCTION("GOOGLETRANSLATE($B24,""en"",""es"")"),"Calle + Número")</f>
        <v>Calle + Número</v>
      </c>
      <c r="G24" s="1" t="str">
        <f>IFERROR(__xludf.DUMMYFUNCTION("GOOGLETRANSLATE($B24,""en"",""it"")"),"Via + Numero civico")</f>
        <v>Via + Numero civico</v>
      </c>
    </row>
    <row r="25">
      <c r="A25" s="9"/>
      <c r="B25" s="12" t="s">
        <v>22</v>
      </c>
      <c r="C25" s="1" t="str">
        <f>IFERROR(__xludf.DUMMYFUNCTION("GOOGLETRANSLATE($B25,""en"",""nl"")"),"Provincie")</f>
        <v>Provincie</v>
      </c>
      <c r="D25" s="1" t="str">
        <f>IFERROR(__xludf.DUMMYFUNCTION("GOOGLETRANSLATE($B25,""en"",""fr"")"),"Province")</f>
        <v>Province</v>
      </c>
      <c r="E25" s="1" t="str">
        <f>IFERROR(__xludf.DUMMYFUNCTION("GOOGLETRANSLATE($B25,""en"",""de"")"),"Provinz")</f>
        <v>Provinz</v>
      </c>
      <c r="F25" s="1" t="str">
        <f>IFERROR(__xludf.DUMMYFUNCTION("GOOGLETRANSLATE($B25,""en"",""es"")"),"Provincia")</f>
        <v>Provincia</v>
      </c>
      <c r="G25" s="1" t="str">
        <f>IFERROR(__xludf.DUMMYFUNCTION("GOOGLETRANSLATE($B25,""en"",""it"")"),"Provincia")</f>
        <v>Provincia</v>
      </c>
    </row>
    <row r="26">
      <c r="A26" s="9"/>
      <c r="B26" s="13" t="s">
        <v>23</v>
      </c>
      <c r="C26" s="1" t="str">
        <f>IFERROR(__xludf.DUMMYFUNCTION("GOOGLETRANSLATE($B26,""en"",""nl"")"),"Achtergrondinformatie")</f>
        <v>Achtergrondinformatie</v>
      </c>
      <c r="D26" s="1" t="str">
        <f>IFERROR(__xludf.DUMMYFUNCTION("GOOGLETRANSLATE($B26,""en"",""fr"")"),"Informations générales")</f>
        <v>Informations générales</v>
      </c>
      <c r="E26" s="1" t="str">
        <f>IFERROR(__xludf.DUMMYFUNCTION("GOOGLETRANSLATE($B26,""en"",""de"")"),"Hintergrundinformationen")</f>
        <v>Hintergrundinformationen</v>
      </c>
      <c r="F26" s="1" t="str">
        <f>IFERROR(__xludf.DUMMYFUNCTION("GOOGLETRANSLATE($B26,""en"",""es"")"),"Información general")</f>
        <v>Información general</v>
      </c>
      <c r="G26" s="1" t="str">
        <f>IFERROR(__xludf.DUMMYFUNCTION("GOOGLETRANSLATE($B26,""en"",""it"")"),"Informazioni di base")</f>
        <v>Informazioni di base</v>
      </c>
    </row>
    <row r="27">
      <c r="A27" s="9"/>
      <c r="B27" s="12" t="s">
        <v>24</v>
      </c>
      <c r="C27" s="1" t="str">
        <f>IFERROR(__xludf.DUMMYFUNCTION("GOOGLETRANSLATE($B27,""en"",""nl"")"),"Prijslijst")</f>
        <v>Prijslijst</v>
      </c>
      <c r="D27" s="1" t="str">
        <f>IFERROR(__xludf.DUMMYFUNCTION("GOOGLETRANSLATE($B27,""en"",""fr"")"),"Liste de prix")</f>
        <v>Liste de prix</v>
      </c>
      <c r="E27" s="1" t="str">
        <f>IFERROR(__xludf.DUMMYFUNCTION("GOOGLETRANSLATE($B27,""en"",""de"")"),"Preisliste")</f>
        <v>Preisliste</v>
      </c>
      <c r="F27" s="1" t="str">
        <f>IFERROR(__xludf.DUMMYFUNCTION("GOOGLETRANSLATE($B27,""en"",""es"")"),"Lista de precios")</f>
        <v>Lista de precios</v>
      </c>
      <c r="G27" s="1" t="str">
        <f>IFERROR(__xludf.DUMMYFUNCTION("GOOGLETRANSLATE($B27,""en"",""it"")"),"Listino prezzi")</f>
        <v>Listino prezzi</v>
      </c>
    </row>
    <row r="28">
      <c r="A28" s="9"/>
      <c r="B28" s="12" t="s">
        <v>25</v>
      </c>
      <c r="C28" s="1" t="str">
        <f>IFERROR(__xludf.DUMMYFUNCTION("GOOGLETRANSLATE($B28,""en"",""nl"")"),"BTW-verplichting")</f>
        <v>BTW-verplichting</v>
      </c>
      <c r="D28" s="1" t="str">
        <f>IFERROR(__xludf.DUMMYFUNCTION("GOOGLETRANSLATE($B28,""en"",""fr"")"),"TVA à payer")</f>
        <v>TVA à payer</v>
      </c>
      <c r="E28" s="1" t="str">
        <f>IFERROR(__xludf.DUMMYFUNCTION("GOOGLETRANSLATE($B28,""en"",""de"")"),"Umsatzsteuerpflicht")</f>
        <v>Umsatzsteuerpflicht</v>
      </c>
      <c r="F28" s="1" t="str">
        <f>IFERROR(__xludf.DUMMYFUNCTION("GOOGLETRANSLATE($B28,""en"",""es"")"),"obligación del IVA")</f>
        <v>obligación del IVA</v>
      </c>
      <c r="G28" s="1" t="str">
        <f>IFERROR(__xludf.DUMMYFUNCTION("GOOGLETRANSLATE($B28,""en"",""it"")"),"obblighi IVA")</f>
        <v>obblighi IVA</v>
      </c>
    </row>
    <row r="29">
      <c r="A29" s="9"/>
      <c r="B29" s="12" t="s">
        <v>26</v>
      </c>
      <c r="C29" s="1" t="str">
        <f>IFERROR(__xludf.DUMMYFUNCTION("GOOGLETRANSLATE($B29,""en"",""nl"")"),"Betalingsvoorwaarden")</f>
        <v>Betalingsvoorwaarden</v>
      </c>
      <c r="D29" s="1" t="str">
        <f>IFERROR(__xludf.DUMMYFUNCTION("GOOGLETRANSLATE($B29,""en"",""fr"")"),"Conditions de paiement")</f>
        <v>Conditions de paiement</v>
      </c>
      <c r="E29" s="1" t="str">
        <f>IFERROR(__xludf.DUMMYFUNCTION("GOOGLETRANSLATE($B29,""en"",""de"")"),"Zahlungsbedingungen")</f>
        <v>Zahlungsbedingungen</v>
      </c>
      <c r="F29" s="1" t="str">
        <f>IFERROR(__xludf.DUMMYFUNCTION("GOOGLETRANSLATE($B29,""en"",""es"")"),"Condiciones de pago")</f>
        <v>Condiciones de pago</v>
      </c>
      <c r="G29" s="1" t="str">
        <f>IFERROR(__xludf.DUMMYFUNCTION("GOOGLETRANSLATE($B29,""en"",""it"")"),"Termini di pagamento")</f>
        <v>Termini di pagamento</v>
      </c>
    </row>
    <row r="30">
      <c r="A30" s="9"/>
      <c r="B30" s="12" t="s">
        <v>27</v>
      </c>
      <c r="C30" s="1" t="str">
        <f>IFERROR(__xludf.DUMMYFUNCTION("GOOGLETRANSLATE($B30,""en"",""nl"")"),"Externe ID")</f>
        <v>Externe ID</v>
      </c>
      <c r="D30" s="1" t="str">
        <f>IFERROR(__xludf.DUMMYFUNCTION("GOOGLETRANSLATE($B30,""en"",""fr"")"),"ID externe")</f>
        <v>ID externe</v>
      </c>
      <c r="E30" s="1" t="str">
        <f>IFERROR(__xludf.DUMMYFUNCTION("GOOGLETRANSLATE($B30,""en"",""de"")"),"Externe ID")</f>
        <v>Externe ID</v>
      </c>
      <c r="F30" s="1" t="str">
        <f>IFERROR(__xludf.DUMMYFUNCTION("GOOGLETRANSLATE($B30,""en"",""es"")"),"ID externo")</f>
        <v>ID externo</v>
      </c>
      <c r="G30" s="1" t="str">
        <f>IFERROR(__xludf.DUMMYFUNCTION("GOOGLETRANSLATE($B30,""en"",""it"")"),"ID")</f>
        <v>ID</v>
      </c>
    </row>
    <row r="31">
      <c r="A31" s="9"/>
      <c r="B31" s="12" t="s">
        <v>28</v>
      </c>
      <c r="C31" s="1" t="str">
        <f>IFERROR(__xludf.DUMMYFUNCTION("GOOGLETRANSLATE($B31,""en"",""nl"")"),"IBAN-rekeningnummer")</f>
        <v>IBAN-rekeningnummer</v>
      </c>
      <c r="D31" s="1" t="str">
        <f>IFERROR(__xludf.DUMMYFUNCTION("GOOGLETRANSLATE($B31,""en"",""fr"")"),"Numéro de compte IBAN")</f>
        <v>Numéro de compte IBAN</v>
      </c>
      <c r="E31" s="1" t="str">
        <f>IFERROR(__xludf.DUMMYFUNCTION("GOOGLETRANSLATE($B31,""en"",""de"")"),"IBAN-Kontonummer")</f>
        <v>IBAN-Kontonummer</v>
      </c>
      <c r="F31" s="1" t="str">
        <f>IFERROR(__xludf.DUMMYFUNCTION("GOOGLETRANSLATE($B31,""en"",""es"")"),"Número de cuenta IBAN")</f>
        <v>Número de cuenta IBAN</v>
      </c>
      <c r="G31" s="1" t="str">
        <f>IFERROR(__xludf.DUMMYFUNCTION("GOOGLETRANSLATE($B31,""en"",""it"")"),"Numero di conto IBAN")</f>
        <v>Numero di conto IBAN</v>
      </c>
    </row>
    <row r="32">
      <c r="A32" s="9"/>
      <c r="B32" s="12" t="s">
        <v>29</v>
      </c>
      <c r="C32" s="1" t="str">
        <f>IFERROR(__xludf.DUMMYFUNCTION("GOOGLETRANSLATE($B32,""en"",""nl"")"),"BIC-SWIFT")</f>
        <v>BIC-SWIFT</v>
      </c>
      <c r="D32" s="1" t="str">
        <f>IFERROR(__xludf.DUMMYFUNCTION("GOOGLETRANSLATE($B32,""en"",""fr"")"),"BIC-SWIFT")</f>
        <v>BIC-SWIFT</v>
      </c>
      <c r="E32" s="1" t="str">
        <f>IFERROR(__xludf.DUMMYFUNCTION("GOOGLETRANSLATE($B32,""en"",""de"")"),"BIC-SWIFT")</f>
        <v>BIC-SWIFT</v>
      </c>
      <c r="F32" s="1" t="str">
        <f>IFERROR(__xludf.DUMMYFUNCTION("GOOGLETRANSLATE($B32,""en"",""es"")"),"BIC-SWIFT")</f>
        <v>BIC-SWIFT</v>
      </c>
      <c r="G32" s="1" t="str">
        <f>IFERROR(__xludf.DUMMYFUNCTION("GOOGLETRANSLATE($B32,""en"",""it"")"),"BIC-SWIFT")</f>
        <v>BIC-SWIFT</v>
      </c>
    </row>
    <row r="33">
      <c r="A33" s="9"/>
      <c r="B33" s="12" t="s">
        <v>30</v>
      </c>
      <c r="C33" s="1" t="str">
        <f>IFERROR(__xludf.DUMMYFUNCTION("GOOGLETRANSLATE($B33,""en"",""nl"")"),"Marketingmails waarvoor je je hebt aangemeld")</f>
        <v>Marketingmails waarvoor je je hebt aangemeld</v>
      </c>
      <c r="D33" s="1" t="str">
        <f>IFERROR(__xludf.DUMMYFUNCTION("GOOGLETRANSLATE($B33,""en"",""fr"")"),"Courriels marketing opt-in")</f>
        <v>Courriels marketing opt-in</v>
      </c>
      <c r="E33" s="1" t="str">
        <f>IFERROR(__xludf.DUMMYFUNCTION("GOOGLETRANSLATE($B33,""en"",""de"")"),"Opt-in-Marketing-E-Mails")</f>
        <v>Opt-in-Marketing-E-Mails</v>
      </c>
      <c r="F33" s="1" t="str">
        <f>IFERROR(__xludf.DUMMYFUNCTION("GOOGLETRANSLATE($B33,""en"",""es"")"),"Correos electrónicos de marketing con suscripción voluntaria")</f>
        <v>Correos electrónicos de marketing con suscripción voluntaria</v>
      </c>
      <c r="G33" s="1" t="str">
        <f>IFERROR(__xludf.DUMMYFUNCTION("GOOGLETRANSLATE($B33,""en"",""it"")"),"Email di marketing a cui si aderisce")</f>
        <v>Email di marketing a cui si aderisce</v>
      </c>
    </row>
    <row r="34">
      <c r="A34" s="9"/>
      <c r="B34" s="12" t="s">
        <v>31</v>
      </c>
      <c r="C34" s="1" t="str">
        <f>IFERROR(__xludf.DUMMYFUNCTION("GOOGLETRANSLATE($B34,""en"",""nl"")"),"Bezorgadres: Naam")</f>
        <v>Bezorgadres: Naam</v>
      </c>
      <c r="D34" s="1" t="str">
        <f>IFERROR(__xludf.DUMMYFUNCTION("GOOGLETRANSLATE($B34,""en"",""fr"")"),"Adresse de livraison : Nom")</f>
        <v>Adresse de livraison : Nom</v>
      </c>
      <c r="E34" s="1" t="str">
        <f>IFERROR(__xludf.DUMMYFUNCTION("GOOGLETRANSLATE($B34,""en"",""de"")"),"Lieferadresse: Name")</f>
        <v>Lieferadresse: Name</v>
      </c>
      <c r="F34" s="1" t="str">
        <f>IFERROR(__xludf.DUMMYFUNCTION("GOOGLETRANSLATE($B34,""en"",""es"")"),"Dirección de entrega: Nombre")</f>
        <v>Dirección de entrega: Nombre</v>
      </c>
      <c r="G34" s="1" t="str">
        <f>IFERROR(__xludf.DUMMYFUNCTION("GOOGLETRANSLATE($B34,""en"",""it"")"),"Indirizzo di consegna: Nome")</f>
        <v>Indirizzo di consegna: Nome</v>
      </c>
    </row>
    <row r="35">
      <c r="A35" s="9"/>
      <c r="B35" s="12" t="s">
        <v>32</v>
      </c>
      <c r="C35" s="1" t="str">
        <f>IFERROR(__xludf.DUMMYFUNCTION("GOOGLETRANSLATE($B35,""en"",""nl"")"),"Bezorgadres: Straat")</f>
        <v>Bezorgadres: Straat</v>
      </c>
      <c r="D35" s="1" t="str">
        <f>IFERROR(__xludf.DUMMYFUNCTION("GOOGLETRANSLATE($B35,""en"",""fr"")"),"Adresse de livraison : Rue")</f>
        <v>Adresse de livraison : Rue</v>
      </c>
      <c r="E35" s="1" t="str">
        <f>IFERROR(__xludf.DUMMYFUNCTION("GOOGLETRANSLATE($B35,""en"",""de"")"),"Lieferadresse: Straße")</f>
        <v>Lieferadresse: Straße</v>
      </c>
      <c r="F35" s="1" t="str">
        <f>IFERROR(__xludf.DUMMYFUNCTION("GOOGLETRANSLATE($B35,""en"",""es"")"),"Dirección de entrega: Calle")</f>
        <v>Dirección de entrega: Calle</v>
      </c>
      <c r="G35" s="1" t="str">
        <f>IFERROR(__xludf.DUMMYFUNCTION("GOOGLETRANSLATE($B35,""en"",""it"")"),"Indirizzo di consegna: Via")</f>
        <v>Indirizzo di consegna: Via</v>
      </c>
    </row>
    <row r="36">
      <c r="A36" s="9"/>
      <c r="B36" s="12" t="s">
        <v>33</v>
      </c>
      <c r="C36" s="1" t="str">
        <f>IFERROR(__xludf.DUMMYFUNCTION("GOOGLETRANSLATE($B36,""en"",""nl"")"),"Bezorgadres: Nummer")</f>
        <v>Bezorgadres: Nummer</v>
      </c>
      <c r="D36" s="1" t="str">
        <f>IFERROR(__xludf.DUMMYFUNCTION("GOOGLETRANSLATE($B36,""en"",""fr"")"),"Adresse de livraison : Numéro")</f>
        <v>Adresse de livraison : Numéro</v>
      </c>
      <c r="E36" s="1" t="str">
        <f>IFERROR(__xludf.DUMMYFUNCTION("GOOGLETRANSLATE($B36,""en"",""de"")"),"Lieferadresse: Nummer")</f>
        <v>Lieferadresse: Nummer</v>
      </c>
      <c r="F36" s="1" t="str">
        <f>IFERROR(__xludf.DUMMYFUNCTION("GOOGLETRANSLATE($B36,""en"",""es"")"),"Dirección de entrega: Número")</f>
        <v>Dirección de entrega: Número</v>
      </c>
      <c r="G36" s="1" t="str">
        <f>IFERROR(__xludf.DUMMYFUNCTION("GOOGLETRANSLATE($B36,""en"",""it"")"),"Indirizzo di consegna: Numero")</f>
        <v>Indirizzo di consegna: Numero</v>
      </c>
    </row>
    <row r="37">
      <c r="A37" s="9"/>
      <c r="B37" s="12" t="s">
        <v>34</v>
      </c>
      <c r="C37" s="1" t="str">
        <f>IFERROR(__xludf.DUMMYFUNCTION("GOOGLETRANSLATE($B37,""en"",""nl"")"),"Bezorgadres: Straat + Huisnummer")</f>
        <v>Bezorgadres: Straat + Huisnummer</v>
      </c>
      <c r="D37" s="1" t="str">
        <f>IFERROR(__xludf.DUMMYFUNCTION("GOOGLETRANSLATE($B37,""en"",""fr"")"),"Adresse de livraison : Rue + Numéro")</f>
        <v>Adresse de livraison : Rue + Numéro</v>
      </c>
      <c r="E37" s="1" t="str">
        <f>IFERROR(__xludf.DUMMYFUNCTION("GOOGLETRANSLATE($B37,""en"",""de"")"),"Lieferadresse: Straße + Hausnummer")</f>
        <v>Lieferadresse: Straße + Hausnummer</v>
      </c>
      <c r="F37" s="1" t="str">
        <f>IFERROR(__xludf.DUMMYFUNCTION("GOOGLETRANSLATE($B37,""en"",""es"")"),"Dirección de entrega: Calle + Número")</f>
        <v>Dirección de entrega: Calle + Número</v>
      </c>
      <c r="G37" s="1" t="str">
        <f>IFERROR(__xludf.DUMMYFUNCTION("GOOGLETRANSLATE($B37,""en"",""it"")"),"Indirizzo di consegna: Via + Numero civico")</f>
        <v>Indirizzo di consegna: Via + Numero civico</v>
      </c>
    </row>
    <row r="38">
      <c r="A38" s="9"/>
      <c r="B38" s="12" t="s">
        <v>35</v>
      </c>
      <c r="C38" s="1" t="str">
        <f>IFERROR(__xludf.DUMMYFUNCTION("GOOGLETRANSLATE($B38,""en"",""nl"")"),"Bezorgadres: Postcode")</f>
        <v>Bezorgadres: Postcode</v>
      </c>
      <c r="D38" s="1" t="str">
        <f>IFERROR(__xludf.DUMMYFUNCTION("GOOGLETRANSLATE($B38,""en"",""fr"")"),"Adresse de livraison : Code postal")</f>
        <v>Adresse de livraison : Code postal</v>
      </c>
      <c r="E38" s="1" t="str">
        <f>IFERROR(__xludf.DUMMYFUNCTION("GOOGLETRANSLATE($B38,""en"",""de"")"),"Lieferadresse: Postleitzahl")</f>
        <v>Lieferadresse: Postleitzahl</v>
      </c>
      <c r="F38" s="1" t="str">
        <f>IFERROR(__xludf.DUMMYFUNCTION("GOOGLETRANSLATE($B38,""en"",""es"")"),"Dirección de entrega: Código postal")</f>
        <v>Dirección de entrega: Código postal</v>
      </c>
      <c r="G38" s="1" t="str">
        <f>IFERROR(__xludf.DUMMYFUNCTION("GOOGLETRANSLATE($B38,""en"",""it"")"),"Indirizzo di consegna: Codice postale")</f>
        <v>Indirizzo di consegna: Codice postale</v>
      </c>
    </row>
    <row r="39">
      <c r="A39" s="9"/>
      <c r="B39" s="12" t="s">
        <v>36</v>
      </c>
      <c r="C39" s="1" t="str">
        <f>IFERROR(__xludf.DUMMYFUNCTION("GOOGLETRANSLATE($B39,""en"",""nl"")"),"Bezorgadres: Plaats")</f>
        <v>Bezorgadres: Plaats</v>
      </c>
      <c r="D39" s="1" t="str">
        <f>IFERROR(__xludf.DUMMYFUNCTION("GOOGLETRANSLATE($B39,""en"",""fr"")"),"Adresse de livraison : Ville")</f>
        <v>Adresse de livraison : Ville</v>
      </c>
      <c r="E39" s="1" t="str">
        <f>IFERROR(__xludf.DUMMYFUNCTION("GOOGLETRANSLATE($B39,""en"",""de"")"),"Lieferadresse: Stadt")</f>
        <v>Lieferadresse: Stadt</v>
      </c>
      <c r="F39" s="1" t="str">
        <f>IFERROR(__xludf.DUMMYFUNCTION("GOOGLETRANSLATE($B39,""en"",""es"")"),"Dirección de entrega: Ciudad")</f>
        <v>Dirección de entrega: Ciudad</v>
      </c>
      <c r="G39" s="1" t="str">
        <f>IFERROR(__xludf.DUMMYFUNCTION("GOOGLETRANSLATE($B39,""en"",""it"")"),"Indirizzo di consegna: Città")</f>
        <v>Indirizzo di consegna: Città</v>
      </c>
    </row>
    <row r="40">
      <c r="A40" s="9"/>
      <c r="B40" s="12" t="s">
        <v>37</v>
      </c>
      <c r="C40" s="1" t="str">
        <f>IFERROR(__xludf.DUMMYFUNCTION("GOOGLETRANSLATE($B40,""en"",""nl"")"),"Bezorgadres: Land")</f>
        <v>Bezorgadres: Land</v>
      </c>
      <c r="D40" s="1" t="str">
        <f>IFERROR(__xludf.DUMMYFUNCTION("GOOGLETRANSLATE($B40,""en"",""fr"")"),"Adresse de livraison : Pays")</f>
        <v>Adresse de livraison : Pays</v>
      </c>
      <c r="E40" s="1" t="str">
        <f>IFERROR(__xludf.DUMMYFUNCTION("GOOGLETRANSLATE($B40,""en"",""de"")"),"Lieferadresse: Land")</f>
        <v>Lieferadresse: Land</v>
      </c>
      <c r="F40" s="1" t="str">
        <f>IFERROR(__xludf.DUMMYFUNCTION("GOOGLETRANSLATE($B40,""en"",""es"")"),"Dirección de entrega: País")</f>
        <v>Dirección de entrega: País</v>
      </c>
      <c r="G40" s="1" t="str">
        <f>IFERROR(__xludf.DUMMYFUNCTION("GOOGLETRANSLATE($B40,""en"",""it"")"),"Indirizzo di consegna: Paese")</f>
        <v>Indirizzo di consegna: Paese</v>
      </c>
    </row>
    <row r="41">
      <c r="A41" s="9"/>
      <c r="B41" s="12" t="s">
        <v>38</v>
      </c>
      <c r="C41" s="1" t="str">
        <f>IFERROR(__xludf.DUMMYFUNCTION("GOOGLETRANSLATE($B41,""en"",""nl"")"),"Bezorgadres: Provincie")</f>
        <v>Bezorgadres: Provincie</v>
      </c>
      <c r="D41" s="1" t="str">
        <f>IFERROR(__xludf.DUMMYFUNCTION("GOOGLETRANSLATE($B41,""en"",""fr"")"),"Adresse de livraison : Province")</f>
        <v>Adresse de livraison : Province</v>
      </c>
      <c r="E41" s="1" t="str">
        <f>IFERROR(__xludf.DUMMYFUNCTION("GOOGLETRANSLATE($B41,""en"",""de"")"),"Lieferadresse: Provinz")</f>
        <v>Lieferadresse: Provinz</v>
      </c>
      <c r="F41" s="1" t="str">
        <f>IFERROR(__xludf.DUMMYFUNCTION("GOOGLETRANSLATE($B41,""en"",""es"")"),"Dirección de entrega: Provincia")</f>
        <v>Dirección de entrega: Provincia</v>
      </c>
      <c r="G41" s="1" t="str">
        <f>IFERROR(__xludf.DUMMYFUNCTION("GOOGLETRANSLATE($B41,""en"",""it"")"),"Indirizzo di consegna: Provincia")</f>
        <v>Indirizzo di consegna: Provincia</v>
      </c>
    </row>
    <row r="42">
      <c r="A42" s="9"/>
      <c r="B42" s="12" t="s">
        <v>39</v>
      </c>
      <c r="C42" s="1" t="str">
        <f>IFERROR(__xludf.DUMMYFUNCTION("GOOGLETRANSLATE($B42,""en"",""nl"")"),"Factuuradres: Naam")</f>
        <v>Factuuradres: Naam</v>
      </c>
      <c r="D42" s="1" t="str">
        <f>IFERROR(__xludf.DUMMYFUNCTION("GOOGLETRANSLATE($B42,""en"",""fr"")"),"Adresse de facturation : Nom")</f>
        <v>Adresse de facturation : Nom</v>
      </c>
      <c r="E42" s="1" t="str">
        <f>IFERROR(__xludf.DUMMYFUNCTION("GOOGLETRANSLATE($B42,""en"",""de"")"),"Rechnungsadresse: Name")</f>
        <v>Rechnungsadresse: Name</v>
      </c>
      <c r="F42" s="1" t="str">
        <f>IFERROR(__xludf.DUMMYFUNCTION("GOOGLETRANSLATE($B42,""en"",""es"")"),"Dirección de facturación: Nombre")</f>
        <v>Dirección de facturación: Nombre</v>
      </c>
      <c r="G42" s="1" t="str">
        <f>IFERROR(__xludf.DUMMYFUNCTION("GOOGLETRANSLATE($B42,""en"",""it"")"),"Indirizzo di fatturazione: Nome")</f>
        <v>Indirizzo di fatturazione: Nome</v>
      </c>
    </row>
    <row r="43">
      <c r="A43" s="9"/>
      <c r="B43" s="12" t="s">
        <v>40</v>
      </c>
      <c r="C43" s="1" t="str">
        <f>IFERROR(__xludf.DUMMYFUNCTION("GOOGLETRANSLATE($B43,""en"",""nl"")"),"Factuuradres: Straat")</f>
        <v>Factuuradres: Straat</v>
      </c>
      <c r="D43" s="1" t="str">
        <f>IFERROR(__xludf.DUMMYFUNCTION("GOOGLETRANSLATE($B43,""en"",""fr"")"),"Adresse de facturation : Rue")</f>
        <v>Adresse de facturation : Rue</v>
      </c>
      <c r="E43" s="1" t="str">
        <f>IFERROR(__xludf.DUMMYFUNCTION("GOOGLETRANSLATE($B43,""en"",""de"")"),"Rechnungsadresse: Straße")</f>
        <v>Rechnungsadresse: Straße</v>
      </c>
      <c r="F43" s="1" t="str">
        <f>IFERROR(__xludf.DUMMYFUNCTION("GOOGLETRANSLATE($B43,""en"",""es"")"),"Dirección de facturación: Calle")</f>
        <v>Dirección de facturación: Calle</v>
      </c>
      <c r="G43" s="1" t="str">
        <f>IFERROR(__xludf.DUMMYFUNCTION("GOOGLETRANSLATE($B43,""en"",""it"")"),"Indirizzo di fatturazione: Via")</f>
        <v>Indirizzo di fatturazione: Via</v>
      </c>
    </row>
    <row r="44">
      <c r="A44" s="9"/>
      <c r="B44" s="12" t="s">
        <v>41</v>
      </c>
      <c r="C44" s="1" t="str">
        <f>IFERROR(__xludf.DUMMYFUNCTION("GOOGLETRANSLATE($B44,""en"",""nl"")"),"Factuuradres: Nummer")</f>
        <v>Factuuradres: Nummer</v>
      </c>
      <c r="D44" s="1" t="str">
        <f>IFERROR(__xludf.DUMMYFUNCTION("GOOGLETRANSLATE($B44,""en"",""fr"")"),"Adresse de facturation : Numéro")</f>
        <v>Adresse de facturation : Numéro</v>
      </c>
      <c r="E44" s="1" t="str">
        <f>IFERROR(__xludf.DUMMYFUNCTION("GOOGLETRANSLATE($B44,""en"",""de"")"),"Rechnungsadresse: Nummer")</f>
        <v>Rechnungsadresse: Nummer</v>
      </c>
      <c r="F44" s="1" t="str">
        <f>IFERROR(__xludf.DUMMYFUNCTION("GOOGLETRANSLATE($B44,""en"",""es"")"),"Dirección de facturación: Número")</f>
        <v>Dirección de facturación: Número</v>
      </c>
      <c r="G44" s="1" t="str">
        <f>IFERROR(__xludf.DUMMYFUNCTION("GOOGLETRANSLATE($B44,""en"",""it"")"),"Indirizzo di fatturazione: Numero")</f>
        <v>Indirizzo di fatturazione: Numero</v>
      </c>
    </row>
    <row r="45">
      <c r="A45" s="9"/>
      <c r="B45" s="12" t="s">
        <v>42</v>
      </c>
      <c r="C45" s="1" t="str">
        <f>IFERROR(__xludf.DUMMYFUNCTION("GOOGLETRANSLATE($B45,""en"",""nl"")"),"Factuuradres: Straat + Huisnummer")</f>
        <v>Factuuradres: Straat + Huisnummer</v>
      </c>
      <c r="D45" s="1" t="str">
        <f>IFERROR(__xludf.DUMMYFUNCTION("GOOGLETRANSLATE($B45,""en"",""fr"")"),"Adresse de facturation : Rue + Numéro")</f>
        <v>Adresse de facturation : Rue + Numéro</v>
      </c>
      <c r="E45" s="1" t="str">
        <f>IFERROR(__xludf.DUMMYFUNCTION("GOOGLETRANSLATE($B45,""en"",""de"")"),"Rechnungsadresse: Straße + Hausnummer")</f>
        <v>Rechnungsadresse: Straße + Hausnummer</v>
      </c>
      <c r="F45" s="1" t="str">
        <f>IFERROR(__xludf.DUMMYFUNCTION("GOOGLETRANSLATE($B45,""en"",""es"")"),"Dirección de facturación: Calle + Número")</f>
        <v>Dirección de facturación: Calle + Número</v>
      </c>
      <c r="G45" s="1" t="str">
        <f>IFERROR(__xludf.DUMMYFUNCTION("GOOGLETRANSLATE($B45,""en"",""it"")"),"Indirizzo di fatturazione: Via + Numero civico")</f>
        <v>Indirizzo di fatturazione: Via + Numero civico</v>
      </c>
    </row>
    <row r="46">
      <c r="A46" s="9"/>
      <c r="B46" s="12" t="s">
        <v>43</v>
      </c>
      <c r="C46" s="1" t="str">
        <f>IFERROR(__xludf.DUMMYFUNCTION("GOOGLETRANSLATE($B46,""en"",""nl"")"),"Factuuradres: Postcode")</f>
        <v>Factuuradres: Postcode</v>
      </c>
      <c r="D46" s="1" t="str">
        <f>IFERROR(__xludf.DUMMYFUNCTION("GOOGLETRANSLATE($B46,""en"",""fr"")"),"Adresse de facturation : Code postal")</f>
        <v>Adresse de facturation : Code postal</v>
      </c>
      <c r="E46" s="1" t="str">
        <f>IFERROR(__xludf.DUMMYFUNCTION("GOOGLETRANSLATE($B46,""en"",""de"")"),"Rechnungsadresse: Postleitzahl")</f>
        <v>Rechnungsadresse: Postleitzahl</v>
      </c>
      <c r="F46" s="1" t="str">
        <f>IFERROR(__xludf.DUMMYFUNCTION("GOOGLETRANSLATE($B46,""en"",""es"")"),"Dirección de facturación: Código postal")</f>
        <v>Dirección de facturación: Código postal</v>
      </c>
      <c r="G46" s="1" t="str">
        <f>IFERROR(__xludf.DUMMYFUNCTION("GOOGLETRANSLATE($B46,""en"",""it"")"),"Indirizzo di fatturazione: Codice postale")</f>
        <v>Indirizzo di fatturazione: Codice postale</v>
      </c>
    </row>
    <row r="47">
      <c r="A47" s="9"/>
      <c r="B47" s="12" t="s">
        <v>44</v>
      </c>
      <c r="C47" s="1" t="str">
        <f>IFERROR(__xludf.DUMMYFUNCTION("GOOGLETRANSLATE($B47,""en"",""nl"")"),"Factuuradres: Plaats")</f>
        <v>Factuuradres: Plaats</v>
      </c>
      <c r="D47" s="1" t="str">
        <f>IFERROR(__xludf.DUMMYFUNCTION("GOOGLETRANSLATE($B47,""en"",""fr"")"),"Adresse de facturation : Ville")</f>
        <v>Adresse de facturation : Ville</v>
      </c>
      <c r="E47" s="1" t="str">
        <f>IFERROR(__xludf.DUMMYFUNCTION("GOOGLETRANSLATE($B47,""en"",""de"")"),"Rechnungsadresse: Stadt")</f>
        <v>Rechnungsadresse: Stadt</v>
      </c>
      <c r="F47" s="1" t="str">
        <f>IFERROR(__xludf.DUMMYFUNCTION("GOOGLETRANSLATE($B47,""en"",""es"")"),"Dirección de facturación: Ciudad")</f>
        <v>Dirección de facturación: Ciudad</v>
      </c>
      <c r="G47" s="1" t="str">
        <f>IFERROR(__xludf.DUMMYFUNCTION("GOOGLETRANSLATE($B47,""en"",""it"")"),"Indirizzo di fatturazione: Città")</f>
        <v>Indirizzo di fatturazione: Città</v>
      </c>
    </row>
    <row r="48">
      <c r="A48" s="9"/>
      <c r="B48" s="12" t="s">
        <v>45</v>
      </c>
      <c r="C48" s="1" t="str">
        <f>IFERROR(__xludf.DUMMYFUNCTION("GOOGLETRANSLATE($B48,""en"",""nl"")"),"Factuuradres: Land")</f>
        <v>Factuuradres: Land</v>
      </c>
      <c r="D48" s="1" t="str">
        <f>IFERROR(__xludf.DUMMYFUNCTION("GOOGLETRANSLATE($B48,""en"",""fr"")"),"Adresse de facturation : Pays")</f>
        <v>Adresse de facturation : Pays</v>
      </c>
      <c r="E48" s="1" t="str">
        <f>IFERROR(__xludf.DUMMYFUNCTION("GOOGLETRANSLATE($B48,""en"",""de"")"),"Rechnungsadresse: Land")</f>
        <v>Rechnungsadresse: Land</v>
      </c>
      <c r="F48" s="1" t="str">
        <f>IFERROR(__xludf.DUMMYFUNCTION("GOOGLETRANSLATE($B48,""en"",""es"")"),"Dirección de facturación: País")</f>
        <v>Dirección de facturación: País</v>
      </c>
      <c r="G48" s="1" t="str">
        <f>IFERROR(__xludf.DUMMYFUNCTION("GOOGLETRANSLATE($B48,""en"",""it"")"),"Indirizzo di fatturazione: Paese")</f>
        <v>Indirizzo di fatturazione: Paese</v>
      </c>
    </row>
    <row r="49">
      <c r="A49" s="9"/>
      <c r="B49" s="12" t="s">
        <v>46</v>
      </c>
      <c r="C49" s="1" t="str">
        <f>IFERROR(__xludf.DUMMYFUNCTION("GOOGLETRANSLATE($B49,""en"",""nl"")"),"Factuuradres: Provincie")</f>
        <v>Factuuradres: Provincie</v>
      </c>
      <c r="D49" s="1" t="str">
        <f>IFERROR(__xludf.DUMMYFUNCTION("GOOGLETRANSLATE($B49,""en"",""fr"")"),"Adresse de facturation : Province")</f>
        <v>Adresse de facturation : Province</v>
      </c>
      <c r="E49" s="1" t="str">
        <f>IFERROR(__xludf.DUMMYFUNCTION("GOOGLETRANSLATE($B49,""en"",""de"")"),"Rechnungsadresse: Provinz")</f>
        <v>Rechnungsadresse: Provinz</v>
      </c>
      <c r="F49" s="1" t="str">
        <f>IFERROR(__xludf.DUMMYFUNCTION("GOOGLETRANSLATE($B49,""en"",""es"")"),"Dirección de facturación: Provincia")</f>
        <v>Dirección de facturación: Provincia</v>
      </c>
      <c r="G49" s="1" t="str">
        <f>IFERROR(__xludf.DUMMYFUNCTION("GOOGLETRANSLATE($B49,""en"",""it"")"),"Indirizzo di fatturazione: Provincia")</f>
        <v>Indirizzo di fatturazione: Provincia</v>
      </c>
    </row>
    <row r="50">
      <c r="A50" s="9"/>
      <c r="B50" s="12" t="s">
        <v>47</v>
      </c>
      <c r="C50" s="1" t="str">
        <f>IFERROR(__xludf.DUMMYFUNCTION("GOOGLETRANSLATE($B50,""en"",""nl"")"),"Bezoekadres: Naam")</f>
        <v>Bezoekadres: Naam</v>
      </c>
      <c r="D50" s="1" t="str">
        <f>IFERROR(__xludf.DUMMYFUNCTION("GOOGLETRANSLATE($B50,""en"",""fr"")"),"Adresse de visite : Nom")</f>
        <v>Adresse de visite : Nom</v>
      </c>
      <c r="E50" s="1" t="str">
        <f>IFERROR(__xludf.DUMMYFUNCTION("GOOGLETRANSLATE($B50,""en"",""de"")"),"Besucheradresse: Name")</f>
        <v>Besucheradresse: Name</v>
      </c>
      <c r="F50" s="1" t="str">
        <f>IFERROR(__xludf.DUMMYFUNCTION("GOOGLETRANSLATE($B50,""en"",""es"")"),"Dirección de visita: Nombre")</f>
        <v>Dirección de visita: Nombre</v>
      </c>
      <c r="G50" s="1" t="str">
        <f>IFERROR(__xludf.DUMMYFUNCTION("GOOGLETRANSLATE($B50,""en"",""it"")"),"Indirizzo di visita: Nome")</f>
        <v>Indirizzo di visita: Nome</v>
      </c>
    </row>
    <row r="51">
      <c r="A51" s="9"/>
      <c r="B51" s="12" t="s">
        <v>48</v>
      </c>
      <c r="C51" s="1" t="str">
        <f>IFERROR(__xludf.DUMMYFUNCTION("GOOGLETRANSLATE($B51,""en"",""nl"")"),"Bezoekadres: Straat")</f>
        <v>Bezoekadres: Straat</v>
      </c>
      <c r="D51" s="1" t="str">
        <f>IFERROR(__xludf.DUMMYFUNCTION("GOOGLETRANSLATE($B51,""en"",""fr"")"),"Adresse de visite : Rue")</f>
        <v>Adresse de visite : Rue</v>
      </c>
      <c r="E51" s="1" t="str">
        <f>IFERROR(__xludf.DUMMYFUNCTION("GOOGLETRANSLATE($B51,""en"",""de"")"),"Besucheradresse: Straße")</f>
        <v>Besucheradresse: Straße</v>
      </c>
      <c r="F51" s="1" t="str">
        <f>IFERROR(__xludf.DUMMYFUNCTION("GOOGLETRANSLATE($B51,""en"",""es"")"),"Dirección de visita: Calle")</f>
        <v>Dirección de visita: Calle</v>
      </c>
      <c r="G51" s="1" t="str">
        <f>IFERROR(__xludf.DUMMYFUNCTION("GOOGLETRANSLATE($B51,""en"",""it"")"),"Indirizzo di visita: Via")</f>
        <v>Indirizzo di visita: Via</v>
      </c>
    </row>
    <row r="52">
      <c r="A52" s="9"/>
      <c r="B52" s="12" t="s">
        <v>49</v>
      </c>
      <c r="C52" s="1" t="str">
        <f>IFERROR(__xludf.DUMMYFUNCTION("GOOGLETRANSLATE($B52,""en"",""nl"")"),"Bezoekadres: Nummer")</f>
        <v>Bezoekadres: Nummer</v>
      </c>
      <c r="D52" s="1" t="str">
        <f>IFERROR(__xludf.DUMMYFUNCTION("GOOGLETRANSLATE($B52,""en"",""fr"")"),"Adresse de visite : Numéro")</f>
        <v>Adresse de visite : Numéro</v>
      </c>
      <c r="E52" s="1" t="str">
        <f>IFERROR(__xludf.DUMMYFUNCTION("GOOGLETRANSLATE($B52,""en"",""de"")"),"Besucheradresse: Nummer")</f>
        <v>Besucheradresse: Nummer</v>
      </c>
      <c r="F52" s="1" t="str">
        <f>IFERROR(__xludf.DUMMYFUNCTION("GOOGLETRANSLATE($B52,""en"",""es"")"),"Dirección de visita: Número")</f>
        <v>Dirección de visita: Número</v>
      </c>
      <c r="G52" s="1" t="str">
        <f>IFERROR(__xludf.DUMMYFUNCTION("GOOGLETRANSLATE($B52,""en"",""it"")"),"Indirizzo di visita: Numero")</f>
        <v>Indirizzo di visita: Numero</v>
      </c>
    </row>
    <row r="53">
      <c r="A53" s="9"/>
      <c r="B53" s="12" t="s">
        <v>50</v>
      </c>
      <c r="C53" s="1" t="str">
        <f>IFERROR(__xludf.DUMMYFUNCTION("GOOGLETRANSLATE($B53,""en"",""nl"")"),"Bezoekadres: Straat + Huisnummer")</f>
        <v>Bezoekadres: Straat + Huisnummer</v>
      </c>
      <c r="D53" s="1" t="str">
        <f>IFERROR(__xludf.DUMMYFUNCTION("GOOGLETRANSLATE($B53,""en"",""fr"")"),"Adresse de visite : Rue + Numéro")</f>
        <v>Adresse de visite : Rue + Numéro</v>
      </c>
      <c r="E53" s="1" t="str">
        <f>IFERROR(__xludf.DUMMYFUNCTION("GOOGLETRANSLATE($B53,""en"",""de"")"),"Besucheradresse: Straße + Hausnummer")</f>
        <v>Besucheradresse: Straße + Hausnummer</v>
      </c>
      <c r="F53" s="1" t="str">
        <f>IFERROR(__xludf.DUMMYFUNCTION("GOOGLETRANSLATE($B53,""en"",""es"")"),"Dirección de visita: Calle + Número")</f>
        <v>Dirección de visita: Calle + Número</v>
      </c>
      <c r="G53" s="1" t="str">
        <f>IFERROR(__xludf.DUMMYFUNCTION("GOOGLETRANSLATE($B53,""en"",""it"")"),"Indirizzo da visitare: Via + Numero civico")</f>
        <v>Indirizzo da visitare: Via + Numero civico</v>
      </c>
    </row>
    <row r="54">
      <c r="A54" s="9"/>
      <c r="B54" s="12" t="s">
        <v>51</v>
      </c>
      <c r="C54" s="1" t="str">
        <f>IFERROR(__xludf.DUMMYFUNCTION("GOOGLETRANSLATE($B54,""en"",""nl"")"),"Bezoekadres: Postcode")</f>
        <v>Bezoekadres: Postcode</v>
      </c>
      <c r="D54" s="1" t="str">
        <f>IFERROR(__xludf.DUMMYFUNCTION("GOOGLETRANSLATE($B54,""en"",""fr"")"),"Adresse de visite : Code postal")</f>
        <v>Adresse de visite : Code postal</v>
      </c>
      <c r="E54" s="1" t="str">
        <f>IFERROR(__xludf.DUMMYFUNCTION("GOOGLETRANSLATE($B54,""en"",""de"")"),"Besucheradresse: Postleitzahl")</f>
        <v>Besucheradresse: Postleitzahl</v>
      </c>
      <c r="F54" s="1" t="str">
        <f>IFERROR(__xludf.DUMMYFUNCTION("GOOGLETRANSLATE($B54,""en"",""es"")"),"Dirección de visita: Código postal")</f>
        <v>Dirección de visita: Código postal</v>
      </c>
      <c r="G54" s="1" t="str">
        <f>IFERROR(__xludf.DUMMYFUNCTION("GOOGLETRANSLATE($B54,""en"",""it"")"),"Indirizzo da visitare: Codice postale")</f>
        <v>Indirizzo da visitare: Codice postale</v>
      </c>
    </row>
    <row r="55">
      <c r="A55" s="9"/>
      <c r="B55" s="12" t="s">
        <v>52</v>
      </c>
      <c r="C55" s="1" t="str">
        <f>IFERROR(__xludf.DUMMYFUNCTION("GOOGLETRANSLATE($B55,""en"",""nl"")"),"Bezoekadres: Stad")</f>
        <v>Bezoekadres: Stad</v>
      </c>
      <c r="D55" s="1" t="str">
        <f>IFERROR(__xludf.DUMMYFUNCTION("GOOGLETRANSLATE($B55,""en"",""fr"")"),"Adresse de visite : Ville")</f>
        <v>Adresse de visite : Ville</v>
      </c>
      <c r="E55" s="1" t="str">
        <f>IFERROR(__xludf.DUMMYFUNCTION("GOOGLETRANSLATE($B55,""en"",""de"")"),"Besucheradresse: Stadt")</f>
        <v>Besucheradresse: Stadt</v>
      </c>
      <c r="F55" s="1" t="str">
        <f>IFERROR(__xludf.DUMMYFUNCTION("GOOGLETRANSLATE($B55,""en"",""es"")"),"Dirección de visita: Ciudad")</f>
        <v>Dirección de visita: Ciudad</v>
      </c>
      <c r="G55" s="1" t="str">
        <f>IFERROR(__xludf.DUMMYFUNCTION("GOOGLETRANSLATE($B55,""en"",""it"")"),"Indirizzo di visita: Città")</f>
        <v>Indirizzo di visita: Città</v>
      </c>
    </row>
    <row r="56">
      <c r="A56" s="9"/>
      <c r="B56" s="12" t="s">
        <v>53</v>
      </c>
      <c r="C56" s="1" t="str">
        <f>IFERROR(__xludf.DUMMYFUNCTION("GOOGLETRANSLATE($B56,""en"",""nl"")"),"Bezoekadres: Land")</f>
        <v>Bezoekadres: Land</v>
      </c>
      <c r="D56" s="1" t="str">
        <f>IFERROR(__xludf.DUMMYFUNCTION("GOOGLETRANSLATE($B56,""en"",""fr"")"),"Adresse de visite : Pays")</f>
        <v>Adresse de visite : Pays</v>
      </c>
      <c r="E56" s="1" t="str">
        <f>IFERROR(__xludf.DUMMYFUNCTION("GOOGLETRANSLATE($B56,""en"",""de"")"),"Besucheradresse: Land")</f>
        <v>Besucheradresse: Land</v>
      </c>
      <c r="F56" s="1" t="str">
        <f>IFERROR(__xludf.DUMMYFUNCTION("GOOGLETRANSLATE($B56,""en"",""es"")"),"Dirección de visita: País")</f>
        <v>Dirección de visita: País</v>
      </c>
      <c r="G56" s="1" t="str">
        <f>IFERROR(__xludf.DUMMYFUNCTION("GOOGLETRANSLATE($B56,""en"",""it"")"),"Indirizzo di visita: Paese")</f>
        <v>Indirizzo di visita: Paese</v>
      </c>
    </row>
    <row r="57">
      <c r="A57" s="9"/>
      <c r="B57" s="12" t="s">
        <v>54</v>
      </c>
      <c r="C57" s="1" t="str">
        <f>IFERROR(__xludf.DUMMYFUNCTION("GOOGLETRANSLATE($B57,""en"",""nl"")"),"Bezoekadres: Provincie")</f>
        <v>Bezoekadres: Provincie</v>
      </c>
      <c r="D57" s="1" t="str">
        <f>IFERROR(__xludf.DUMMYFUNCTION("GOOGLETRANSLATE($B57,""en"",""fr"")"),"Adresse de visite : Province")</f>
        <v>Adresse de visite : Province</v>
      </c>
      <c r="E57" s="1" t="str">
        <f>IFERROR(__xludf.DUMMYFUNCTION("GOOGLETRANSLATE($B57,""en"",""de"")"),"Besucheradresse: Provinz")</f>
        <v>Besucheradresse: Provinz</v>
      </c>
      <c r="F57" s="1" t="str">
        <f>IFERROR(__xludf.DUMMYFUNCTION("GOOGLETRANSLATE($B57,""en"",""es"")"),"Dirección de visita: Provincia")</f>
        <v>Dirección de visita: Provincia</v>
      </c>
      <c r="G57" s="1" t="str">
        <f>IFERROR(__xludf.DUMMYFUNCTION("GOOGLETRANSLATE($B57,""en"",""it"")"),"Indirizzo di visita: Provincia")</f>
        <v>Indirizzo di visita: Provincia</v>
      </c>
    </row>
    <row r="58">
      <c r="A58" s="11" t="s">
        <v>1006</v>
      </c>
      <c r="B58" s="13" t="s">
        <v>55</v>
      </c>
      <c r="C58" s="1" t="str">
        <f>IFERROR(__xludf.DUMMYFUNCTION("GOOGLETRANSLATE($B58,""en"",""nl"")"),"Gelinkt bedrijf: Naam")</f>
        <v>Gelinkt bedrijf: Naam</v>
      </c>
      <c r="D58" s="1" t="str">
        <f>IFERROR(__xludf.DUMMYFUNCTION("GOOGLETRANSLATE($B58,""en"",""fr"")"),"Société liée : Nom")</f>
        <v>Société liée : Nom</v>
      </c>
      <c r="E58" s="1" t="str">
        <f>IFERROR(__xludf.DUMMYFUNCTION("GOOGLETRANSLATE($B58,""en"",""de"")"),"Verbundenes Unternehmen: Name")</f>
        <v>Verbundenes Unternehmen: Name</v>
      </c>
      <c r="F58" s="1" t="str">
        <f>IFERROR(__xludf.DUMMYFUNCTION("GOOGLETRANSLATE($B58,""en"",""es"")"),"Empresa vinculada: Nombre")</f>
        <v>Empresa vinculada: Nombre</v>
      </c>
      <c r="G58" s="1" t="str">
        <f>IFERROR(__xludf.DUMMYFUNCTION("GOOGLETRANSLATE($B58,""en"",""it"")"),"Azienda collegata: Nome")</f>
        <v>Azienda collegata: Nome</v>
      </c>
    </row>
    <row r="59">
      <c r="A59" s="14"/>
      <c r="B59" s="13" t="s">
        <v>56</v>
      </c>
      <c r="C59" s="1" t="str">
        <f>IFERROR(__xludf.DUMMYFUNCTION("GOOGLETRANSLATE($B59,""en"",""nl"")"),"Gekoppeld bedrijf: Naam + Soort bedrijf")</f>
        <v>Gekoppeld bedrijf: Naam + Soort bedrijf</v>
      </c>
      <c r="D59" s="1" t="str">
        <f>IFERROR(__xludf.DUMMYFUNCTION("GOOGLETRANSLATE($B59,""en"",""fr"")"),"Entreprise liée : Nom + Type d’activité")</f>
        <v>Entreprise liée : Nom + Type d’activité</v>
      </c>
      <c r="E59" s="1" t="str">
        <f>IFERROR(__xludf.DUMMYFUNCTION("GOOGLETRANSLATE($B59,""en"",""de"")"),"Verbundenes Unternehmen: Name + Art des Geschäfts")</f>
        <v>Verbundenes Unternehmen: Name + Art des Geschäfts</v>
      </c>
      <c r="F59" s="1" t="str">
        <f>IFERROR(__xludf.DUMMYFUNCTION("GOOGLETRANSLATE($B59,""en"",""es"")"),"Empresa vinculada: Nombre + Tipo de negocio")</f>
        <v>Empresa vinculada: Nombre + Tipo de negocio</v>
      </c>
      <c r="G59" s="1" t="str">
        <f>IFERROR(__xludf.DUMMYFUNCTION("GOOGLETRANSLATE($B59,""en"",""it"")"),"Azienda collegata: Nome + Tipo di attività")</f>
        <v>Azienda collegata: Nome + Tipo di attività</v>
      </c>
    </row>
    <row r="60">
      <c r="A60" s="14"/>
      <c r="B60" s="13" t="s">
        <v>57</v>
      </c>
      <c r="C60" s="1" t="str">
        <f>IFERROR(__xludf.DUMMYFUNCTION("GOOGLETRANSLATE($B60,""en"",""nl"")"),"Gekoppeld bedrijf: Telefoon")</f>
        <v>Gekoppeld bedrijf: Telefoon</v>
      </c>
      <c r="D60" s="1" t="str">
        <f>IFERROR(__xludf.DUMMYFUNCTION("GOOGLETRANSLATE($B60,""en"",""fr"")"),"Société liée : Téléphone")</f>
        <v>Société liée : Téléphone</v>
      </c>
      <c r="E60" s="1" t="str">
        <f>IFERROR(__xludf.DUMMYFUNCTION("GOOGLETRANSLATE($B60,""en"",""de"")"),"Verbundenes Unternehmen: Telefon")</f>
        <v>Verbundenes Unternehmen: Telefon</v>
      </c>
      <c r="F60" s="1" t="str">
        <f>IFERROR(__xludf.DUMMYFUNCTION("GOOGLETRANSLATE($B60,""en"",""es"")"),"Empresa vinculada: Teléfono")</f>
        <v>Empresa vinculada: Teléfono</v>
      </c>
      <c r="G60" s="1" t="str">
        <f>IFERROR(__xludf.DUMMYFUNCTION("GOOGLETRANSLATE($B60,""en"",""it"")"),"Azienda collegata: Telefono")</f>
        <v>Azienda collegata: Telefono</v>
      </c>
    </row>
    <row r="61">
      <c r="A61" s="14"/>
      <c r="B61" s="13" t="s">
        <v>58</v>
      </c>
      <c r="C61" s="1" t="str">
        <f>IFERROR(__xludf.DUMMYFUNCTION("GOOGLETRANSLATE($B61,""en"",""nl"")"),"Gelieerd bedrijf: Fax")</f>
        <v>Gelieerd bedrijf: Fax</v>
      </c>
      <c r="D61" s="1" t="str">
        <f>IFERROR(__xludf.DUMMYFUNCTION("GOOGLETRANSLATE($B61,""en"",""fr"")"),"Société liée : Fax")</f>
        <v>Société liée : Fax</v>
      </c>
      <c r="E61" s="1" t="str">
        <f>IFERROR(__xludf.DUMMYFUNCTION("GOOGLETRANSLATE($B61,""en"",""de"")"),"Verbundenes Unternehmen: Fax")</f>
        <v>Verbundenes Unternehmen: Fax</v>
      </c>
      <c r="F61" s="1" t="str">
        <f>IFERROR(__xludf.DUMMYFUNCTION("GOOGLETRANSLATE($B61,""en"",""es"")"),"Empresa vinculada: Fax")</f>
        <v>Empresa vinculada: Fax</v>
      </c>
      <c r="G61" s="1" t="str">
        <f>IFERROR(__xludf.DUMMYFUNCTION("GOOGLETRANSLATE($B61,""en"",""it"")"),"Azienda collegata: Fax")</f>
        <v>Azienda collegata: Fax</v>
      </c>
    </row>
    <row r="62">
      <c r="A62" s="14"/>
      <c r="B62" s="13" t="s">
        <v>59</v>
      </c>
      <c r="C62" s="1" t="str">
        <f>IFERROR(__xludf.DUMMYFUNCTION("GOOGLETRANSLATE($B62,""en"",""nl"")"),"Gelinkt bedrijf: E-mailadres")</f>
        <v>Gelinkt bedrijf: E-mailadres</v>
      </c>
      <c r="D62" s="1" t="str">
        <f>IFERROR(__xludf.DUMMYFUNCTION("GOOGLETRANSLATE($B62,""en"",""fr"")"),"Société liée : Adresse e-mail")</f>
        <v>Société liée : Adresse e-mail</v>
      </c>
      <c r="E62" s="1" t="str">
        <f>IFERROR(__xludf.DUMMYFUNCTION("GOOGLETRANSLATE($B62,""en"",""de"")"),"Verknüpftes Unternehmen: E-Mail-Adresse")</f>
        <v>Verknüpftes Unternehmen: E-Mail-Adresse</v>
      </c>
      <c r="F62" s="1" t="str">
        <f>IFERROR(__xludf.DUMMYFUNCTION("GOOGLETRANSLATE($B62,""en"",""es"")"),"Empresa vinculada: Dirección de correo electrónico")</f>
        <v>Empresa vinculada: Dirección de correo electrónico</v>
      </c>
      <c r="G62" s="1" t="str">
        <f>IFERROR(__xludf.DUMMYFUNCTION("GOOGLETRANSLATE($B62,""en"",""it"")"),"Azienda collegata: Indirizzo e-mail")</f>
        <v>Azienda collegata: Indirizzo e-mail</v>
      </c>
    </row>
    <row r="63">
      <c r="A63" s="14"/>
      <c r="B63" s="13" t="s">
        <v>60</v>
      </c>
      <c r="C63" s="1" t="str">
        <f>IFERROR(__xludf.DUMMYFUNCTION("GOOGLETRANSLATE($B63,""en"",""nl"")"),"Gelinkt bedrijf: Website")</f>
        <v>Gelinkt bedrijf: Website</v>
      </c>
      <c r="D63" s="1" t="str">
        <f>IFERROR(__xludf.DUMMYFUNCTION("GOOGLETRANSLATE($B63,""en"",""fr"")"),"Entreprise liée : Site web")</f>
        <v>Entreprise liée : Site web</v>
      </c>
      <c r="E63" s="1" t="str">
        <f>IFERROR(__xludf.DUMMYFUNCTION("GOOGLETRANSLATE($B63,""en"",""de"")"),"Verlinktes Unternehmen: Website")</f>
        <v>Verlinktes Unternehmen: Website</v>
      </c>
      <c r="F63" s="1" t="str">
        <f>IFERROR(__xludf.DUMMYFUNCTION("GOOGLETRANSLATE($B63,""en"",""es"")"),"Empresa vinculada: Sitio web")</f>
        <v>Empresa vinculada: Sitio web</v>
      </c>
      <c r="G63" s="1" t="str">
        <f>IFERROR(__xludf.DUMMYFUNCTION("GOOGLETRANSLATE($B63,""en"",""it"")"),"Azienda collegata: Sito web")</f>
        <v>Azienda collegata: Sito web</v>
      </c>
    </row>
    <row r="64">
      <c r="A64" s="14"/>
      <c r="B64" s="13" t="s">
        <v>61</v>
      </c>
      <c r="C64" s="1" t="str">
        <f>IFERROR(__xludf.DUMMYFUNCTION("GOOGLETRANSLATE($B64,""en"",""nl"")"),"Gelieerde onderneming: BTW-nummer")</f>
        <v>Gelieerde onderneming: BTW-nummer</v>
      </c>
      <c r="D64" s="1" t="str">
        <f>IFERROR(__xludf.DUMMYFUNCTION("GOOGLETRANSLATE($B64,""en"",""fr"")"),"Société liée : numéro de TVA")</f>
        <v>Société liée : numéro de TVA</v>
      </c>
      <c r="E64" s="1" t="str">
        <f>IFERROR(__xludf.DUMMYFUNCTION("GOOGLETRANSLATE($B64,""en"",""de"")"),"Verbundenes Unternehmen: Umsatzsteuer-Identifikationsnummer")</f>
        <v>Verbundenes Unternehmen: Umsatzsteuer-Identifikationsnummer</v>
      </c>
      <c r="F64" s="1" t="str">
        <f>IFERROR(__xludf.DUMMYFUNCTION("GOOGLETRANSLATE($B64,""en"",""es"")"),"Empresa vinculada: número de IVA")</f>
        <v>Empresa vinculada: número de IVA</v>
      </c>
      <c r="G64" s="1" t="str">
        <f>IFERROR(__xludf.DUMMYFUNCTION("GOOGLETRANSLATE($B64,""en"",""it"")"),"Società collegata: Partita IVA")</f>
        <v>Società collegata: Partita IVA</v>
      </c>
    </row>
    <row r="65">
      <c r="A65" s="14"/>
      <c r="B65" s="13" t="s">
        <v>62</v>
      </c>
      <c r="C65" s="1" t="str">
        <f>IFERROR(__xludf.DUMMYFUNCTION("GOOGLETRANSLATE($B65,""en"",""nl"")"),"Gelieerd bedrijf: Nationaal identificatienummer")</f>
        <v>Gelieerd bedrijf: Nationaal identificatienummer</v>
      </c>
      <c r="D65" s="1" t="str">
        <f>IFERROR(__xludf.DUMMYFUNCTION("GOOGLETRANSLATE($B65,""en"",""fr"")"),"Société liée : Numéro d'identification national")</f>
        <v>Société liée : Numéro d'identification national</v>
      </c>
      <c r="E65" s="1" t="str">
        <f>IFERROR(__xludf.DUMMYFUNCTION("GOOGLETRANSLATE($B65,""en"",""de"")"),"Verbundenes Unternehmen: Nationale Identifikationsnummer")</f>
        <v>Verbundenes Unternehmen: Nationale Identifikationsnummer</v>
      </c>
      <c r="F65" s="1" t="str">
        <f>IFERROR(__xludf.DUMMYFUNCTION("GOOGLETRANSLATE($B65,""en"",""es"")"),"Empresa vinculada: Identificación Nacional N°")</f>
        <v>Empresa vinculada: Identificación Nacional N°</v>
      </c>
      <c r="G65" s="1" t="str">
        <f>IFERROR(__xludf.DUMMYFUNCTION("GOOGLETRANSLATE($B65,""en"",""it"")"),"Società collegata: Numero di identificazione nazionale")</f>
        <v>Società collegata: Numero di identificazione nazionale</v>
      </c>
    </row>
    <row r="66">
      <c r="A66" s="14"/>
      <c r="B66" s="13" t="s">
        <v>63</v>
      </c>
      <c r="C66" s="1" t="str">
        <f>IFERROR(__xludf.DUMMYFUNCTION("GOOGLETRANSLATE($B66,""en"",""nl"")"),"Gekoppeld bedrijf: straat/nummer")</f>
        <v>Gekoppeld bedrijf: straat/nummer</v>
      </c>
      <c r="D66" s="1" t="str">
        <f>IFERROR(__xludf.DUMMYFUNCTION("GOOGLETRANSLATE($B66,""en"",""fr"")"),"Société associée : rue/numéro")</f>
        <v>Société associée : rue/numéro</v>
      </c>
      <c r="E66" s="1" t="str">
        <f>IFERROR(__xludf.DUMMYFUNCTION("GOOGLETRANSLATE($B66,""en"",""de"")"),"Zugehöriges Unternehmen: Straße/Hausnummer")</f>
        <v>Zugehöriges Unternehmen: Straße/Hausnummer</v>
      </c>
      <c r="F66" s="1" t="str">
        <f>IFERROR(__xludf.DUMMYFUNCTION("GOOGLETRANSLATE($B66,""en"",""es"")"),"Empresa vinculada: calle/número")</f>
        <v>Empresa vinculada: calle/número</v>
      </c>
      <c r="G66" s="1" t="str">
        <f>IFERROR(__xludf.DUMMYFUNCTION("GOOGLETRANSLATE($B66,""en"",""it"")"),"Azienda collegata: via/numero civico")</f>
        <v>Azienda collegata: via/numero civico</v>
      </c>
    </row>
    <row r="67">
      <c r="A67" s="14"/>
      <c r="B67" s="13" t="s">
        <v>64</v>
      </c>
      <c r="C67" s="1" t="str">
        <f>IFERROR(__xludf.DUMMYFUNCTION("GOOGLETRANSLATE($B67,""en"",""nl"")"),"Gekoppeld bedrijf: postcode")</f>
        <v>Gekoppeld bedrijf: postcode</v>
      </c>
      <c r="D67" s="1" t="str">
        <f>IFERROR(__xludf.DUMMYFUNCTION("GOOGLETRANSLATE($B67,""en"",""fr"")"),"Entreprise liée : code postal")</f>
        <v>Entreprise liée : code postal</v>
      </c>
      <c r="E67" s="1" t="str">
        <f>IFERROR(__xludf.DUMMYFUNCTION("GOOGLETRANSLATE($B67,""en"",""de"")"),"Verknüpftes Unternehmen: Postleitzahl")</f>
        <v>Verknüpftes Unternehmen: Postleitzahl</v>
      </c>
      <c r="F67" s="1" t="str">
        <f>IFERROR(__xludf.DUMMYFUNCTION("GOOGLETRANSLATE($B67,""en"",""es"")"),"Empresa vinculada: código postal")</f>
        <v>Empresa vinculada: código postal</v>
      </c>
      <c r="G67" s="1" t="str">
        <f>IFERROR(__xludf.DUMMYFUNCTION("GOOGLETRANSLATE($B67,""en"",""it"")"),"Azienda collegata: codice postale")</f>
        <v>Azienda collegata: codice postale</v>
      </c>
    </row>
    <row r="68">
      <c r="A68" s="14"/>
      <c r="B68" s="13" t="s">
        <v>65</v>
      </c>
      <c r="C68" s="1" t="str">
        <f>IFERROR(__xludf.DUMMYFUNCTION("GOOGLETRANSLATE($B68,""en"",""nl"")"),"Gelieerd bedrijf: Stad")</f>
        <v>Gelieerd bedrijf: Stad</v>
      </c>
      <c r="D68" s="1" t="str">
        <f>IFERROR(__xludf.DUMMYFUNCTION("GOOGLETRANSLATE($B68,""en"",""fr"")"),"Entreprise liée : Ville")</f>
        <v>Entreprise liée : Ville</v>
      </c>
      <c r="E68" s="1" t="str">
        <f>IFERROR(__xludf.DUMMYFUNCTION("GOOGLETRANSLATE($B68,""en"",""de"")"),"Verbundenes Unternehmen: Stadt")</f>
        <v>Verbundenes Unternehmen: Stadt</v>
      </c>
      <c r="F68" s="1" t="str">
        <f>IFERROR(__xludf.DUMMYFUNCTION("GOOGLETRANSLATE($B68,""en"",""es"")"),"Empresa vinculada: City")</f>
        <v>Empresa vinculada: City</v>
      </c>
      <c r="G68" s="1" t="str">
        <f>IFERROR(__xludf.DUMMYFUNCTION("GOOGLETRANSLATE($B68,""en"",""it"")"),"Società collegata: City")</f>
        <v>Società collegata: City</v>
      </c>
    </row>
    <row r="69">
      <c r="A69" s="11" t="s">
        <v>1007</v>
      </c>
      <c r="B69" s="13" t="s">
        <v>66</v>
      </c>
      <c r="C69" s="1" t="str">
        <f>IFERROR(__xludf.DUMMYFUNCTION("GOOGLETRANSLATE($B69,""en"",""nl"")"),"Contactpersoon 1: Achternaam + Voornaam")</f>
        <v>Contactpersoon 1: Achternaam + Voornaam</v>
      </c>
      <c r="D69" s="1" t="str">
        <f>IFERROR(__xludf.DUMMYFUNCTION("GOOGLETRANSLATE($B69,""en"",""fr"")"),"Contact 1 : Nom de famille + Prénom")</f>
        <v>Contact 1 : Nom de famille + Prénom</v>
      </c>
      <c r="E69" s="1" t="str">
        <f>IFERROR(__xludf.DUMMYFUNCTION("GOOGLETRANSLATE($B69,""en"",""de"")"),"Kontakt 1: Nachname + Vorname")</f>
        <v>Kontakt 1: Nachname + Vorname</v>
      </c>
      <c r="F69" s="1" t="str">
        <f>IFERROR(__xludf.DUMMYFUNCTION("GOOGLETRANSLATE($B69,""en"",""es"")"),"Contacto 1: Apellido + Nombre")</f>
        <v>Contacto 1: Apellido + Nombre</v>
      </c>
      <c r="G69" s="1" t="str">
        <f>IFERROR(__xludf.DUMMYFUNCTION("GOOGLETRANSLATE($B69,""en"",""it"")"),"Contatto 1: Cognome + Nome")</f>
        <v>Contatto 1: Cognome + Nome</v>
      </c>
    </row>
    <row r="70">
      <c r="A70" s="14"/>
      <c r="B70" s="13" t="s">
        <v>67</v>
      </c>
      <c r="C70" s="1" t="str">
        <f>IFERROR(__xludf.DUMMYFUNCTION("GOOGLETRANSLATE($B70,""en"",""nl"")"),"Contactpersoon 1: Voornaam + Achternaam")</f>
        <v>Contactpersoon 1: Voornaam + Achternaam</v>
      </c>
      <c r="D70" s="1" t="str">
        <f>IFERROR(__xludf.DUMMYFUNCTION("GOOGLETRANSLATE($B70,""en"",""fr"")"),"Contact 1 : Prénom + Nom de famille")</f>
        <v>Contact 1 : Prénom + Nom de famille</v>
      </c>
      <c r="E70" s="1" t="str">
        <f>IFERROR(__xludf.DUMMYFUNCTION("GOOGLETRANSLATE($B70,""en"",""de"")"),"Kontakt 1: Vorname + Nachname")</f>
        <v>Kontakt 1: Vorname + Nachname</v>
      </c>
      <c r="F70" s="1" t="str">
        <f>IFERROR(__xludf.DUMMYFUNCTION("GOOGLETRANSLATE($B70,""en"",""es"")"),"Contacto 1: Nombre + Apellido")</f>
        <v>Contacto 1: Nombre + Apellido</v>
      </c>
      <c r="G70" s="1" t="str">
        <f>IFERROR(__xludf.DUMMYFUNCTION("GOOGLETRANSLATE($B70,""en"",""it"")"),"Contatto 1: Nome + Cognome")</f>
        <v>Contatto 1: Nome + Cognome</v>
      </c>
    </row>
    <row r="71">
      <c r="A71" s="14"/>
      <c r="B71" s="13" t="s">
        <v>68</v>
      </c>
      <c r="C71" s="1" t="str">
        <f>IFERROR(__xludf.DUMMYFUNCTION("GOOGLETRANSLATE($B71,""en"",""nl"")"),"Contactpersoon 1: Voornaam")</f>
        <v>Contactpersoon 1: Voornaam</v>
      </c>
      <c r="D71" s="1" t="str">
        <f>IFERROR(__xludf.DUMMYFUNCTION("GOOGLETRANSLATE($B71,""en"",""fr"")"),"Contact 1 : Prénom")</f>
        <v>Contact 1 : Prénom</v>
      </c>
      <c r="E71" s="1" t="str">
        <f>IFERROR(__xludf.DUMMYFUNCTION("GOOGLETRANSLATE($B71,""en"",""de"")"),"Kontakt 1: Vorname")</f>
        <v>Kontakt 1: Vorname</v>
      </c>
      <c r="F71" s="1" t="str">
        <f>IFERROR(__xludf.DUMMYFUNCTION("GOOGLETRANSLATE($B71,""en"",""es"")"),"Contacto 1: Nombre")</f>
        <v>Contacto 1: Nombre</v>
      </c>
      <c r="G71" s="1" t="str">
        <f>IFERROR(__xludf.DUMMYFUNCTION("GOOGLETRANSLATE($B71,""en"",""it"")"),"Contatto 1: Nome")</f>
        <v>Contatto 1: Nome</v>
      </c>
    </row>
    <row r="72">
      <c r="A72" s="14"/>
      <c r="B72" s="13" t="s">
        <v>69</v>
      </c>
      <c r="C72" s="1" t="str">
        <f>IFERROR(__xludf.DUMMYFUNCTION("GOOGLETRANSLATE($B72,""en"",""nl"")"),"Contactpersoon 1: Achternaam")</f>
        <v>Contactpersoon 1: Achternaam</v>
      </c>
      <c r="D72" s="1" t="str">
        <f>IFERROR(__xludf.DUMMYFUNCTION("GOOGLETRANSLATE($B72,""en"",""fr"")"),"Contact 1 : Nom de famille")</f>
        <v>Contact 1 : Nom de famille</v>
      </c>
      <c r="E72" s="1" t="str">
        <f>IFERROR(__xludf.DUMMYFUNCTION("GOOGLETRANSLATE($B72,""en"",""de"")"),"Kontakt 1: Nachname")</f>
        <v>Kontakt 1: Nachname</v>
      </c>
      <c r="F72" s="1" t="str">
        <f>IFERROR(__xludf.DUMMYFUNCTION("GOOGLETRANSLATE($B72,""en"",""es"")"),"Contacto 1: Apellido")</f>
        <v>Contacto 1: Apellido</v>
      </c>
      <c r="G72" s="1" t="str">
        <f>IFERROR(__xludf.DUMMYFUNCTION("GOOGLETRANSLATE($B72,""en"",""it"")"),"Contatto 1: Cognome")</f>
        <v>Contatto 1: Cognome</v>
      </c>
    </row>
    <row r="73">
      <c r="A73" s="9"/>
      <c r="B73" s="13" t="s">
        <v>70</v>
      </c>
      <c r="C73" s="1" t="str">
        <f>IFERROR(__xludf.DUMMYFUNCTION("GOOGLETRANSLATE($B73,""en"",""nl"")"),"Contact 1: Functie")</f>
        <v>Contact 1: Functie</v>
      </c>
      <c r="D73" s="1" t="str">
        <f>IFERROR(__xludf.DUMMYFUNCTION("GOOGLETRANSLATE($B73,""en"",""fr"")"),"Contact 1 : Fonction")</f>
        <v>Contact 1 : Fonction</v>
      </c>
      <c r="E73" s="1" t="str">
        <f>IFERROR(__xludf.DUMMYFUNCTION("GOOGLETRANSLATE($B73,""en"",""de"")"),"Kontakt 1: Funktion")</f>
        <v>Kontakt 1: Funktion</v>
      </c>
      <c r="F73" s="1" t="str">
        <f>IFERROR(__xludf.DUMMYFUNCTION("GOOGLETRANSLATE($B73,""en"",""es"")"),"Contacto 1: Función")</f>
        <v>Contacto 1: Función</v>
      </c>
      <c r="G73" s="1" t="str">
        <f>IFERROR(__xludf.DUMMYFUNCTION("GOOGLETRANSLATE($B73,""en"",""it"")"),"Contatto 1: Funzione")</f>
        <v>Contatto 1: Funzione</v>
      </c>
    </row>
    <row r="74">
      <c r="A74" s="14"/>
      <c r="B74" s="13" t="s">
        <v>71</v>
      </c>
      <c r="C74" s="1" t="str">
        <f>IFERROR(__xludf.DUMMYFUNCTION("GOOGLETRANSLATE($B74,""en"",""nl"")"),"Contact 1: Subfunctie")</f>
        <v>Contact 1: Subfunctie</v>
      </c>
      <c r="D74" s="1" t="str">
        <f>IFERROR(__xludf.DUMMYFUNCTION("GOOGLETRANSLATE($B74,""en"",""fr"")"),"Contact 1 : Sous-fonction")</f>
        <v>Contact 1 : Sous-fonction</v>
      </c>
      <c r="E74" s="1" t="str">
        <f>IFERROR(__xludf.DUMMYFUNCTION("GOOGLETRANSLATE($B74,""en"",""de"")"),"Kontakt 1: Unterfunktion")</f>
        <v>Kontakt 1: Unterfunktion</v>
      </c>
      <c r="F74" s="1" t="str">
        <f>IFERROR(__xludf.DUMMYFUNCTION("GOOGLETRANSLATE($B74,""en"",""es"")"),"Contacto 1: Subfunción")</f>
        <v>Contacto 1: Subfunción</v>
      </c>
      <c r="G74" s="1" t="str">
        <f>IFERROR(__xludf.DUMMYFUNCTION("GOOGLETRANSLATE($B74,""en"",""it"")"),"Contatto 1: Sottofunzione")</f>
        <v>Contatto 1: Sottofunzione</v>
      </c>
    </row>
    <row r="75">
      <c r="A75" s="14"/>
      <c r="B75" s="13" t="s">
        <v>72</v>
      </c>
      <c r="C75" s="1" t="str">
        <f>IFERROR(__xludf.DUMMYFUNCTION("GOOGLETRANSLATE($B75,""en"",""nl"")"),"Contactpersoon 1: Afdeling")</f>
        <v>Contactpersoon 1: Afdeling</v>
      </c>
      <c r="D75" s="1" t="str">
        <f>IFERROR(__xludf.DUMMYFUNCTION("GOOGLETRANSLATE($B75,""en"",""fr"")"),"Contact 1 : Département")</f>
        <v>Contact 1 : Département</v>
      </c>
      <c r="E75" s="1" t="str">
        <f>IFERROR(__xludf.DUMMYFUNCTION("GOOGLETRANSLATE($B75,""en"",""de"")"),"Kontakt 1: Abteilung")</f>
        <v>Kontakt 1: Abteilung</v>
      </c>
      <c r="F75" s="1" t="str">
        <f>IFERROR(__xludf.DUMMYFUNCTION("GOOGLETRANSLATE($B75,""en"",""es"")"),"Contacto 1: Departamento")</f>
        <v>Contacto 1: Departamento</v>
      </c>
      <c r="G75" s="1" t="str">
        <f>IFERROR(__xludf.DUMMYFUNCTION("GOOGLETRANSLATE($B75,""en"",""it"")"),"Contatto 1: Dipartimento")</f>
        <v>Contatto 1: Dipartimento</v>
      </c>
    </row>
    <row r="76">
      <c r="A76" s="14"/>
      <c r="B76" s="13" t="s">
        <v>73</v>
      </c>
      <c r="C76" s="1" t="str">
        <f>IFERROR(__xludf.DUMMYFUNCTION("GOOGLETRANSLATE($B76,""en"",""nl"")"),"Contact 1: Telefoon")</f>
        <v>Contact 1: Telefoon</v>
      </c>
      <c r="D76" s="1" t="str">
        <f>IFERROR(__xludf.DUMMYFUNCTION("GOOGLETRANSLATE($B76,""en"",""fr"")"),"Contact 1 : Téléphone")</f>
        <v>Contact 1 : Téléphone</v>
      </c>
      <c r="E76" s="1" t="str">
        <f>IFERROR(__xludf.DUMMYFUNCTION("GOOGLETRANSLATE($B76,""en"",""de"")"),"Kontakt 1: Telefon")</f>
        <v>Kontakt 1: Telefon</v>
      </c>
      <c r="F76" s="1" t="str">
        <f>IFERROR(__xludf.DUMMYFUNCTION("GOOGLETRANSLATE($B76,""en"",""es"")"),"Contacto 1: Teléfono")</f>
        <v>Contacto 1: Teléfono</v>
      </c>
      <c r="G76" s="1" t="str">
        <f>IFERROR(__xludf.DUMMYFUNCTION("GOOGLETRANSLATE($B76,""en"",""it"")"),"Contatto 1: Telefono")</f>
        <v>Contatto 1: Telefono</v>
      </c>
    </row>
    <row r="77">
      <c r="A77" s="14"/>
      <c r="B77" s="13" t="s">
        <v>74</v>
      </c>
      <c r="C77" s="1" t="str">
        <f>IFERROR(__xludf.DUMMYFUNCTION("GOOGLETRANSLATE($B77,""en"",""nl"")"),"Contact 1: Mobiel")</f>
        <v>Contact 1: Mobiel</v>
      </c>
      <c r="D77" s="1" t="str">
        <f>IFERROR(__xludf.DUMMYFUNCTION("GOOGLETRANSLATE($B77,""en"",""fr"")"),"Contact 1 : Mobile")</f>
        <v>Contact 1 : Mobile</v>
      </c>
      <c r="E77" s="1" t="str">
        <f>IFERROR(__xludf.DUMMYFUNCTION("GOOGLETRANSLATE($B77,""en"",""de"")"),"Kontakt 1: Mobiltelefon")</f>
        <v>Kontakt 1: Mobiltelefon</v>
      </c>
      <c r="F77" s="1" t="str">
        <f>IFERROR(__xludf.DUMMYFUNCTION("GOOGLETRANSLATE($B77,""en"",""es"")"),"Contacto 1: Móvil")</f>
        <v>Contacto 1: Móvil</v>
      </c>
      <c r="G77" s="1" t="str">
        <f>IFERROR(__xludf.DUMMYFUNCTION("GOOGLETRANSLATE($B77,""en"",""it"")"),"Contatto 1: Cellulare")</f>
        <v>Contatto 1: Cellulare</v>
      </c>
    </row>
    <row r="78">
      <c r="A78" s="14"/>
      <c r="B78" s="13" t="s">
        <v>75</v>
      </c>
      <c r="C78" s="1" t="str">
        <f>IFERROR(__xludf.DUMMYFUNCTION("GOOGLETRANSLATE($B78,""en"",""nl"")"),"Contact 1: Fax")</f>
        <v>Contact 1: Fax</v>
      </c>
      <c r="D78" s="1" t="str">
        <f>IFERROR(__xludf.DUMMYFUNCTION("GOOGLETRANSLATE($B78,""en"",""fr"")"),"Contact 1 : Fax")</f>
        <v>Contact 1 : Fax</v>
      </c>
      <c r="E78" s="1" t="str">
        <f>IFERROR(__xludf.DUMMYFUNCTION("GOOGLETRANSLATE($B78,""en"",""de"")"),"Kontakt 1: Fax")</f>
        <v>Kontakt 1: Fax</v>
      </c>
      <c r="F78" s="1" t="str">
        <f>IFERROR(__xludf.DUMMYFUNCTION("GOOGLETRANSLATE($B78,""en"",""es"")"),"Contacto 1: Fax")</f>
        <v>Contacto 1: Fax</v>
      </c>
      <c r="G78" s="1" t="str">
        <f>IFERROR(__xludf.DUMMYFUNCTION("GOOGLETRANSLATE($B78,""en"",""it"")"),"Contatto 1: Fax")</f>
        <v>Contatto 1: Fax</v>
      </c>
    </row>
    <row r="79">
      <c r="A79" s="14"/>
      <c r="B79" s="13" t="s">
        <v>76</v>
      </c>
      <c r="C79" s="1" t="str">
        <f>IFERROR(__xludf.DUMMYFUNCTION("GOOGLETRANSLATE($B79,""en"",""nl"")"),"Contact 1: E-mail")</f>
        <v>Contact 1: E-mail</v>
      </c>
      <c r="D79" s="1" t="str">
        <f>IFERROR(__xludf.DUMMYFUNCTION("GOOGLETRANSLATE($B79,""en"",""fr"")"),"Contact 1 : Courriel")</f>
        <v>Contact 1 : Courriel</v>
      </c>
      <c r="E79" s="1" t="str">
        <f>IFERROR(__xludf.DUMMYFUNCTION("GOOGLETRANSLATE($B79,""en"",""de"")"),"Kontakt 1: E-Mail")</f>
        <v>Kontakt 1: E-Mail</v>
      </c>
      <c r="F79" s="1" t="str">
        <f>IFERROR(__xludf.DUMMYFUNCTION("GOOGLETRANSLATE($B79,""en"",""es"")"),"Contacto 1: Correo electrónico")</f>
        <v>Contacto 1: Correo electrónico</v>
      </c>
      <c r="G79" s="1" t="str">
        <f>IFERROR(__xludf.DUMMYFUNCTION("GOOGLETRANSLATE($B79,""en"",""it"")"),"Contatto 1: Email")</f>
        <v>Contatto 1: Email</v>
      </c>
    </row>
    <row r="80">
      <c r="A80" s="11" t="s">
        <v>1008</v>
      </c>
      <c r="B80" s="13" t="s">
        <v>77</v>
      </c>
      <c r="C80" s="1" t="str">
        <f>IFERROR(__xludf.DUMMYFUNCTION("GOOGLETRANSLATE($B80,""en"",""nl"")"),"Uurtarief")</f>
        <v>Uurtarief</v>
      </c>
      <c r="D80" s="1" t="str">
        <f>IFERROR(__xludf.DUMMYFUNCTION("GOOGLETRANSLATE($B80,""en"",""fr"")"),"taux horaire")</f>
        <v>taux horaire</v>
      </c>
      <c r="E80" s="1" t="str">
        <f>IFERROR(__xludf.DUMMYFUNCTION("GOOGLETRANSLATE($B80,""en"",""de"")"),"Stundensatz")</f>
        <v>Stundensatz</v>
      </c>
      <c r="F80" s="1" t="str">
        <f>IFERROR(__xludf.DUMMYFUNCTION("GOOGLETRANSLATE($B80,""en"",""es"")"),"Tarifa por hora")</f>
        <v>Tarifa por hora</v>
      </c>
      <c r="G80" s="1" t="str">
        <f>IFERROR(__xludf.DUMMYFUNCTION("GOOGLETRANSLATE($B80,""en"",""it"")"),"Tariffa oraria")</f>
        <v>Tariffa oraria</v>
      </c>
    </row>
  </sheetData>
  <drawing r:id="rId1"/>
</worksheet>
</file>